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FF6B" lockStructure="1"/>
  <bookViews>
    <workbookView xWindow="480" yWindow="255" windowWidth="22995" windowHeight="8580"/>
  </bookViews>
  <sheets>
    <sheet name="Special Rates 2015-16" sheetId="1" r:id="rId1"/>
    <sheet name="Nursery Lump Sums" sheetId="3" r:id="rId2"/>
    <sheet name="Lookup Table" sheetId="2" state="hidden" r:id="rId3"/>
  </sheets>
  <definedNames>
    <definedName name="ASD">'Special Rates 2015-16'!$N$23</definedName>
    <definedName name="ASD5N">'Special Rates 2015-16'!$N$24</definedName>
    <definedName name="ASD7N">'Special Rates 2015-16'!$N$26</definedName>
    <definedName name="ASDOLD">'Special Rates 2015-16'!$N$13</definedName>
    <definedName name="ASDOLD5">'Special Rates 2015-16'!$N$14</definedName>
    <definedName name="ASDOLD7">'Special Rates 2015-16'!$N$16</definedName>
    <definedName name="BESD">'Special Rates 2015-16'!$K$23</definedName>
    <definedName name="BESD5N">'Special Rates 2015-16'!$K$24</definedName>
    <definedName name="BESD7N">'Special Rates 2015-16'!$K$26</definedName>
    <definedName name="BESDOLD">'Special Rates 2015-16'!$K$13</definedName>
    <definedName name="BESDOLD5">'Special Rates 2015-16'!$K$14</definedName>
    <definedName name="BESDOLD7">'Special Rates 2015-16'!$K$16</definedName>
    <definedName name="DFENUM">'Special Rates 2015-16'!$C$8</definedName>
    <definedName name="dfenums">'Lookup Table'!$B$1:$Y$1</definedName>
    <definedName name="MLD">'Special Rates 2015-16'!$J$23</definedName>
    <definedName name="MLD5N">'Special Rates 2015-16'!$J$24</definedName>
    <definedName name="MLD7N">'Special Rates 2015-16'!$J$26</definedName>
    <definedName name="MLDOLD">'Special Rates 2015-16'!$J$13</definedName>
    <definedName name="MLDOLD5">'Special Rates 2015-16'!$J$14</definedName>
    <definedName name="MLDOLD7">'Special Rates 2015-16'!$J$16</definedName>
    <definedName name="nurserylump">'Nursery Lump Sums'!$F$16</definedName>
    <definedName name="PD">'Special Rates 2015-16'!$M$23</definedName>
    <definedName name="PD5N">'Special Rates 2015-16'!$M$24</definedName>
    <definedName name="PD7N">'Special Rates 2015-16'!$M$26</definedName>
    <definedName name="PDOLD">'Special Rates 2015-16'!$M$13</definedName>
    <definedName name="PDOLD5">'Special Rates 2015-16'!$M$14</definedName>
    <definedName name="PDOLD7">'Special Rates 2015-16'!$M$16</definedName>
    <definedName name="_xlnm.Print_Area" localSheetId="0">'Special Rates 2015-16'!$A$1:$AA$113</definedName>
    <definedName name="SLD">'Special Rates 2015-16'!$L$23</definedName>
    <definedName name="SLD5N">'Special Rates 2015-16'!$L$24</definedName>
    <definedName name="SLD7N">'Special Rates 2015-16'!$L$26</definedName>
    <definedName name="SLDOLD">'Special Rates 2015-16'!$L$13</definedName>
    <definedName name="SLDOLD5">'Special Rates 2015-16'!$L$14</definedName>
    <definedName name="SLDOLD7">'Special Rates 2015-16'!$L$16</definedName>
  </definedNames>
  <calcPr calcId="145621"/>
</workbook>
</file>

<file path=xl/calcChain.xml><?xml version="1.0" encoding="utf-8"?>
<calcChain xmlns="http://schemas.openxmlformats.org/spreadsheetml/2006/main">
  <c r="R17" i="2" l="1"/>
  <c r="T107" i="1" l="1"/>
  <c r="T112" i="1"/>
  <c r="T111" i="1"/>
  <c r="T110" i="1"/>
  <c r="T109" i="1"/>
  <c r="T108" i="1"/>
  <c r="T106" i="1"/>
  <c r="T105" i="1"/>
  <c r="T104" i="1"/>
  <c r="T103" i="1"/>
  <c r="T102" i="1"/>
  <c r="T101" i="1"/>
  <c r="T100" i="1"/>
  <c r="T99" i="1"/>
  <c r="T98" i="1"/>
  <c r="U78" i="1"/>
  <c r="W78" i="1" l="1"/>
  <c r="J52" i="1"/>
  <c r="J56" i="1" s="1"/>
  <c r="L52" i="1"/>
  <c r="L56" i="1" s="1"/>
  <c r="M52" i="1"/>
  <c r="M56" i="1" s="1"/>
  <c r="D14" i="3" l="1"/>
  <c r="D13" i="3"/>
  <c r="F13" i="3" l="1"/>
  <c r="F14" i="3"/>
  <c r="K42" i="1"/>
  <c r="K52" i="1" l="1"/>
  <c r="K56" i="1" s="1"/>
  <c r="F16" i="3"/>
  <c r="N42" i="1" l="1"/>
  <c r="U79" i="1"/>
  <c r="S38" i="1"/>
  <c r="Q41" i="1" s="1"/>
  <c r="L50" i="1"/>
  <c r="M51" i="1"/>
  <c r="K51" i="1"/>
  <c r="C26" i="1"/>
  <c r="D26" i="1"/>
  <c r="C24" i="1"/>
  <c r="D24" i="1"/>
  <c r="E24" i="1"/>
  <c r="F24" i="1"/>
  <c r="U77" i="1"/>
  <c r="U76" i="1"/>
  <c r="U75" i="1"/>
  <c r="U74" i="1"/>
  <c r="U73" i="1"/>
  <c r="U72" i="1"/>
  <c r="V71" i="1"/>
  <c r="U71" i="1"/>
  <c r="U70" i="1"/>
  <c r="U69" i="1"/>
  <c r="Z77" i="1"/>
  <c r="Z76" i="1"/>
  <c r="Z75" i="1"/>
  <c r="Z74" i="1"/>
  <c r="Z73" i="1"/>
  <c r="Z72" i="1"/>
  <c r="Z71" i="1"/>
  <c r="Z70" i="1"/>
  <c r="Z69" i="1"/>
  <c r="Z68" i="1"/>
  <c r="Z67" i="1"/>
  <c r="Z66" i="1"/>
  <c r="Z65" i="1"/>
  <c r="N44" i="1"/>
  <c r="M44" i="1"/>
  <c r="L44" i="1"/>
  <c r="K44" i="1"/>
  <c r="N43" i="1"/>
  <c r="M43" i="1"/>
  <c r="L43" i="1"/>
  <c r="K43" i="1"/>
  <c r="N51" i="1"/>
  <c r="J44" i="1"/>
  <c r="J43" i="1"/>
  <c r="F26" i="1"/>
  <c r="E26" i="1"/>
  <c r="E8" i="1"/>
  <c r="N52" i="1" l="1"/>
  <c r="N56" i="1" s="1"/>
  <c r="X79" i="1"/>
  <c r="X78" i="1"/>
  <c r="K53" i="1"/>
  <c r="K54" i="1"/>
  <c r="J54" i="1"/>
  <c r="L53" i="1"/>
  <c r="L54" i="1"/>
  <c r="J53" i="1"/>
  <c r="M53" i="1"/>
  <c r="M54" i="1"/>
  <c r="N53" i="1"/>
  <c r="N54" i="1"/>
  <c r="X76" i="1"/>
  <c r="X77" i="1"/>
  <c r="X75" i="1"/>
  <c r="U68" i="1"/>
  <c r="J50" i="1"/>
  <c r="J51" i="1"/>
  <c r="M50" i="1"/>
  <c r="N50" i="1"/>
  <c r="K50" i="1"/>
  <c r="L51" i="1"/>
  <c r="V41" i="1"/>
  <c r="X73" i="1"/>
  <c r="X69" i="1"/>
  <c r="X72" i="1"/>
  <c r="X68" i="1"/>
  <c r="X65" i="1"/>
  <c r="X71" i="1"/>
  <c r="X67" i="1"/>
  <c r="X74" i="1"/>
  <c r="X70" i="1"/>
  <c r="X66" i="1"/>
  <c r="J60" i="1" l="1"/>
  <c r="L60" i="1"/>
  <c r="M60" i="1"/>
  <c r="N60" i="1"/>
  <c r="K60" i="1"/>
  <c r="Y78" i="1"/>
  <c r="W99" i="1"/>
  <c r="W100" i="1"/>
  <c r="W101" i="1"/>
  <c r="W102" i="1"/>
  <c r="W103" i="1"/>
  <c r="W104" i="1"/>
  <c r="W105" i="1"/>
  <c r="W106" i="1"/>
  <c r="W107" i="1"/>
  <c r="W108" i="1"/>
  <c r="W109" i="1"/>
  <c r="W110" i="1"/>
  <c r="W111" i="1"/>
  <c r="W112" i="1"/>
  <c r="W98" i="1"/>
  <c r="J78" i="1" l="1"/>
  <c r="W66" i="1"/>
  <c r="Y66" i="1" s="1"/>
  <c r="J66" i="1" s="1"/>
  <c r="W67" i="1"/>
  <c r="Y67" i="1" s="1"/>
  <c r="J67" i="1" s="1"/>
  <c r="W68" i="1"/>
  <c r="W69" i="1"/>
  <c r="Y69" i="1" s="1"/>
  <c r="J69" i="1" s="1"/>
  <c r="W70" i="1"/>
  <c r="Y70" i="1" s="1"/>
  <c r="J70" i="1" s="1"/>
  <c r="W71" i="1"/>
  <c r="Y71" i="1" s="1"/>
  <c r="J71" i="1" s="1"/>
  <c r="W72" i="1"/>
  <c r="Y72" i="1" s="1"/>
  <c r="J72" i="1" s="1"/>
  <c r="W73" i="1"/>
  <c r="Y73" i="1" s="1"/>
  <c r="J73" i="1" s="1"/>
  <c r="W74" i="1"/>
  <c r="Y74" i="1" s="1"/>
  <c r="J74" i="1" s="1"/>
  <c r="W75" i="1"/>
  <c r="W76" i="1"/>
  <c r="W77" i="1"/>
  <c r="W79" i="1"/>
  <c r="W65" i="1"/>
  <c r="Y65" i="1" s="1"/>
  <c r="J65" i="1" s="1"/>
  <c r="Y77" i="1" l="1"/>
  <c r="J77" i="1" s="1"/>
  <c r="J58" i="1" s="1"/>
  <c r="Y76" i="1"/>
  <c r="J76" i="1" s="1"/>
  <c r="Y75" i="1"/>
  <c r="J75" i="1" s="1"/>
  <c r="Y79" i="1"/>
  <c r="J79" i="1" s="1"/>
  <c r="Y68" i="1"/>
  <c r="J68" i="1" s="1"/>
  <c r="J81" i="1" s="1"/>
  <c r="W81" i="1"/>
  <c r="K58" i="1" l="1"/>
  <c r="L58" i="1"/>
  <c r="M58" i="1"/>
  <c r="N58" i="1"/>
  <c r="M83" i="1"/>
  <c r="N83" i="1"/>
  <c r="J83" i="1"/>
  <c r="K83" i="1"/>
  <c r="L83" i="1"/>
  <c r="N85" i="1"/>
  <c r="M85" i="1"/>
  <c r="J85" i="1"/>
  <c r="K85" i="1"/>
  <c r="L85" i="1"/>
  <c r="K81" i="1"/>
  <c r="F28" i="1"/>
  <c r="E28" i="1"/>
  <c r="D28" i="1"/>
  <c r="C28" i="1"/>
  <c r="J90" i="1" l="1"/>
  <c r="U98" i="1" s="1"/>
  <c r="J92" i="1"/>
  <c r="U108" i="1" s="1"/>
  <c r="K92" i="1"/>
  <c r="J91" i="1"/>
  <c r="U103" i="1" s="1"/>
  <c r="K91" i="1"/>
  <c r="L81" i="1"/>
  <c r="K90" i="1"/>
  <c r="V103" i="1" l="1"/>
  <c r="X103" i="1" s="1"/>
  <c r="J99" i="1" s="1"/>
  <c r="V108" i="1"/>
  <c r="X108" i="1" s="1"/>
  <c r="J100" i="1" s="1"/>
  <c r="V98" i="1"/>
  <c r="X98" i="1" s="1"/>
  <c r="J98" i="1" s="1"/>
  <c r="U99" i="1"/>
  <c r="M81" i="1"/>
  <c r="L90" i="1"/>
  <c r="U109" i="1"/>
  <c r="U104" i="1"/>
  <c r="L91" i="1"/>
  <c r="V104" i="1" l="1"/>
  <c r="X104" i="1" s="1"/>
  <c r="K99" i="1" s="1"/>
  <c r="V99" i="1"/>
  <c r="X99" i="1" s="1"/>
  <c r="K98" i="1" s="1"/>
  <c r="V109" i="1"/>
  <c r="X109" i="1" s="1"/>
  <c r="K100" i="1" s="1"/>
  <c r="J108" i="1"/>
  <c r="J26" i="1" s="1"/>
  <c r="J16" i="1"/>
  <c r="J107" i="1"/>
  <c r="J24" i="1" s="1"/>
  <c r="J14" i="1"/>
  <c r="J106" i="1"/>
  <c r="J23" i="1" s="1"/>
  <c r="J13" i="1"/>
  <c r="L92" i="1"/>
  <c r="U110" i="1" s="1"/>
  <c r="U105" i="1"/>
  <c r="N91" i="1"/>
  <c r="M91" i="1"/>
  <c r="N81" i="1"/>
  <c r="N90" i="1" s="1"/>
  <c r="M90" i="1"/>
  <c r="U100" i="1"/>
  <c r="M92" i="1"/>
  <c r="V105" i="1" l="1"/>
  <c r="X105" i="1" s="1"/>
  <c r="L99" i="1" s="1"/>
  <c r="V110" i="1"/>
  <c r="X110" i="1" s="1"/>
  <c r="L100" i="1" s="1"/>
  <c r="V100" i="1"/>
  <c r="X100" i="1" s="1"/>
  <c r="L98" i="1" s="1"/>
  <c r="K107" i="1"/>
  <c r="K24" i="1" s="1"/>
  <c r="K14" i="1"/>
  <c r="K108" i="1"/>
  <c r="K26" i="1" s="1"/>
  <c r="N92" i="1" s="1"/>
  <c r="U112" i="1" s="1"/>
  <c r="K16" i="1"/>
  <c r="K106" i="1"/>
  <c r="K23" i="1" s="1"/>
  <c r="K13" i="1"/>
  <c r="U101" i="1"/>
  <c r="U111" i="1"/>
  <c r="U106" i="1"/>
  <c r="U107" i="1"/>
  <c r="U102" i="1"/>
  <c r="V112" i="1" l="1"/>
  <c r="X112" i="1" s="1"/>
  <c r="N100" i="1" s="1"/>
  <c r="V107" i="1"/>
  <c r="X107" i="1" s="1"/>
  <c r="N99" i="1" s="1"/>
  <c r="V102" i="1"/>
  <c r="X102" i="1" s="1"/>
  <c r="N98" i="1" s="1"/>
  <c r="V101" i="1"/>
  <c r="X101" i="1" s="1"/>
  <c r="M98" i="1" s="1"/>
  <c r="V106" i="1"/>
  <c r="X106" i="1" s="1"/>
  <c r="M99" i="1" s="1"/>
  <c r="V111" i="1"/>
  <c r="X111" i="1" s="1"/>
  <c r="M100" i="1" s="1"/>
  <c r="L106" i="1"/>
  <c r="L23" i="1" s="1"/>
  <c r="L13" i="1"/>
  <c r="L108" i="1"/>
  <c r="L26" i="1" s="1"/>
  <c r="L16" i="1"/>
  <c r="L107" i="1"/>
  <c r="L24" i="1" s="1"/>
  <c r="L14" i="1"/>
  <c r="N108" i="1" l="1"/>
  <c r="N26" i="1" s="1"/>
  <c r="N16" i="1"/>
  <c r="N106" i="1"/>
  <c r="N23" i="1" s="1"/>
  <c r="N13" i="1"/>
  <c r="M106" i="1"/>
  <c r="M23" i="1" s="1"/>
  <c r="M13" i="1"/>
  <c r="M107" i="1"/>
  <c r="M24" i="1" s="1"/>
  <c r="M14" i="1"/>
  <c r="N107" i="1"/>
  <c r="N24" i="1" s="1"/>
  <c r="N14" i="1"/>
  <c r="M108" i="1"/>
  <c r="M26" i="1" s="1"/>
  <c r="M16" i="1"/>
</calcChain>
</file>

<file path=xl/sharedStrings.xml><?xml version="1.0" encoding="utf-8"?>
<sst xmlns="http://schemas.openxmlformats.org/spreadsheetml/2006/main" count="324" uniqueCount="219">
  <si>
    <t>DfE</t>
  </si>
  <si>
    <t>Commissioned Places</t>
  </si>
  <si>
    <t>Pre-16</t>
  </si>
  <si>
    <t>Post-16</t>
  </si>
  <si>
    <t>Weekday Residential</t>
  </si>
  <si>
    <t>Weekend Residential</t>
  </si>
  <si>
    <t>2014/15</t>
  </si>
  <si>
    <t>Movement</t>
  </si>
  <si>
    <t>Pupil Led Elements</t>
  </si>
  <si>
    <t>Day Rate</t>
  </si>
  <si>
    <t>Residenial Weekday rate</t>
  </si>
  <si>
    <t>Residential Weekend rate</t>
  </si>
  <si>
    <t>Lunch Grant</t>
  </si>
  <si>
    <t>Specialist Schools Funding</t>
  </si>
  <si>
    <t>Further Delegation</t>
  </si>
  <si>
    <t>Residential Weekday Places Catering</t>
  </si>
  <si>
    <t>Residential Weekend Places Catering</t>
  </si>
  <si>
    <t>MLD &amp; SLCN</t>
  </si>
  <si>
    <t>BESD</t>
  </si>
  <si>
    <t>SLD</t>
  </si>
  <si>
    <t>PD &amp; PMLD</t>
  </si>
  <si>
    <t>ASD</t>
  </si>
  <si>
    <t>Induction for Newly Qaulified Teachers</t>
  </si>
  <si>
    <t>Day Rate for Pupil Led Elements</t>
  </si>
  <si>
    <t>Weekday Residential Rate for Pupil Led Elements</t>
  </si>
  <si>
    <t>Weekend Residential Rate for Pupil Led Elements</t>
  </si>
  <si>
    <t>Free Midday Meals</t>
  </si>
  <si>
    <t>Gross Day Floor Area</t>
  </si>
  <si>
    <t>Rentals</t>
  </si>
  <si>
    <t>Hydrotherapy Pool</t>
  </si>
  <si>
    <t>Split site - Band 2</t>
  </si>
  <si>
    <t>Subsidy on day places (catering)</t>
  </si>
  <si>
    <t>Lump Sum Day</t>
  </si>
  <si>
    <t>lump Sum Catering Day</t>
  </si>
  <si>
    <t>Specialist Schools Funding- Lump Sum</t>
  </si>
  <si>
    <t>Grounds Site Area</t>
  </si>
  <si>
    <t>Split site- Band  1</t>
  </si>
  <si>
    <t>Residential Floor Area Weekday</t>
  </si>
  <si>
    <t>Residential Floor Area Weekend</t>
  </si>
  <si>
    <t>Lump Sum Residential</t>
  </si>
  <si>
    <t>School Led Elements</t>
  </si>
  <si>
    <t>Day Rate for School Led Elements</t>
  </si>
  <si>
    <t>Weekday Residential Rate for School Led Elements</t>
  </si>
  <si>
    <t>Weekend Residential Rate for School Led Elements</t>
  </si>
  <si>
    <t>School Led Elements Breakdown</t>
  </si>
  <si>
    <t>Units</t>
  </si>
  <si>
    <t>Rate</t>
  </si>
  <si>
    <t>Total</t>
  </si>
  <si>
    <t>Places</t>
  </si>
  <si>
    <t>£ per place</t>
  </si>
  <si>
    <t>All Need Types</t>
  </si>
  <si>
    <t>Total Formula Rate</t>
  </si>
  <si>
    <t>Academic Year</t>
  </si>
  <si>
    <t>Workings</t>
  </si>
  <si>
    <t>ASD Combined Rate</t>
  </si>
  <si>
    <t>BESD Combined Rate</t>
  </si>
  <si>
    <t>Day Pupils</t>
  </si>
  <si>
    <t>Weekday Residential Pupils</t>
  </si>
  <si>
    <t>Weekend Residential Pupils</t>
  </si>
  <si>
    <t>Minimum Funding Gurantee</t>
  </si>
  <si>
    <t>Minimum Funding Gurantee Calculation</t>
  </si>
  <si>
    <t>Need Type</t>
  </si>
  <si>
    <t>Weekday MLD &amp; SLCN</t>
  </si>
  <si>
    <t>Weekday BESD</t>
  </si>
  <si>
    <t>Weekday SLD</t>
  </si>
  <si>
    <t>Weekday PD &amp; PMLD</t>
  </si>
  <si>
    <t>Weekday ASD</t>
  </si>
  <si>
    <t>Weekend MLD &amp; SLCN</t>
  </si>
  <si>
    <t>Weekend BESD</t>
  </si>
  <si>
    <t>Weekend SLD</t>
  </si>
  <si>
    <t>Weekend PD &amp; PMLD</t>
  </si>
  <si>
    <t>Weekend ASD</t>
  </si>
  <si>
    <t>Bower Grove School</t>
  </si>
  <si>
    <t>St Anthony's School</t>
  </si>
  <si>
    <t>Rowhill School</t>
  </si>
  <si>
    <t>Harbour School</t>
  </si>
  <si>
    <t>The Orchard School</t>
  </si>
  <si>
    <t>Furness School</t>
  </si>
  <si>
    <t>Goldwyn Community Special School</t>
  </si>
  <si>
    <t>Portal House School</t>
  </si>
  <si>
    <t>Broomhill Bank School</t>
  </si>
  <si>
    <t>Grange Park School</t>
  </si>
  <si>
    <t>Stone Bay School</t>
  </si>
  <si>
    <t>Laleham Gap School</t>
  </si>
  <si>
    <t>Valence School</t>
  </si>
  <si>
    <t>The Ifield School</t>
  </si>
  <si>
    <t>The Foreland School</t>
  </si>
  <si>
    <t>Highview School</t>
  </si>
  <si>
    <t>Ridge View School</t>
  </si>
  <si>
    <t>Five Acre Wood School</t>
  </si>
  <si>
    <t>Foxwood School</t>
  </si>
  <si>
    <t>St Nicholas' School</t>
  </si>
  <si>
    <t>Milestone School</t>
  </si>
  <si>
    <t>The Wyvern School</t>
  </si>
  <si>
    <t>Oakley School</t>
  </si>
  <si>
    <t>Meadowfield School</t>
  </si>
  <si>
    <t>School</t>
  </si>
  <si>
    <t>2014/15 Pre-16</t>
  </si>
  <si>
    <t>2014/15 Post-16</t>
  </si>
  <si>
    <t>2014/15 Weekday Residential</t>
  </si>
  <si>
    <t>2014/15 Weekend Residential</t>
  </si>
  <si>
    <t>Day Pupil</t>
  </si>
  <si>
    <t>Designation</t>
  </si>
  <si>
    <t>B&amp;L</t>
  </si>
  <si>
    <t>C&amp;I</t>
  </si>
  <si>
    <t>PD</t>
  </si>
  <si>
    <t>PSCN</t>
  </si>
  <si>
    <t>Stone Bay</t>
  </si>
  <si>
    <t>Furness</t>
  </si>
  <si>
    <t xml:space="preserve"> </t>
  </si>
  <si>
    <t>All residential pupils at Furness are funded at BESD2 as are 75% of the remaining BESD pupils. The remaining BESD pupils are funded at BESD1. The combined rate was calculated using the day/residential mix at December 2013.</t>
  </si>
  <si>
    <t>MFG Rate &amp; Months</t>
  </si>
  <si>
    <t>Summary</t>
  </si>
  <si>
    <t>Total for school led elements:</t>
  </si>
  <si>
    <t>London Fringe Units 2014/15 School Led Factors</t>
  </si>
  <si>
    <t>London Fringe Rates 2014/15 School Led Factors</t>
  </si>
  <si>
    <t>London Fringe Day Pupil</t>
  </si>
  <si>
    <t>London Fringe Weekday Residential Pupil</t>
  </si>
  <si>
    <t>London Fringe Weekend Residential Pupil</t>
  </si>
  <si>
    <t>Leadership Lump Sum per provision</t>
  </si>
  <si>
    <r>
      <t>Day Rate per FTE</t>
    </r>
    <r>
      <rPr>
        <sz val="12"/>
        <color theme="1"/>
        <rFont val="Arial"/>
        <family val="2"/>
      </rPr>
      <t xml:space="preserve"> (see breakdown)</t>
    </r>
  </si>
  <si>
    <t>Rates</t>
  </si>
  <si>
    <t>Calculation</t>
  </si>
  <si>
    <t>Leadership Lump Sum</t>
  </si>
  <si>
    <t>Nursery Provision Indicator</t>
  </si>
  <si>
    <t>Nursery Provion FTE</t>
  </si>
  <si>
    <t>Total Funding at this provision:</t>
  </si>
  <si>
    <t>Day Rate Breakdown</t>
  </si>
  <si>
    <t>Support Staff</t>
  </si>
  <si>
    <t>Other Staffing</t>
  </si>
  <si>
    <t>Resources</t>
  </si>
  <si>
    <t>Training/Sundry</t>
  </si>
  <si>
    <t>Total FTE Funding</t>
  </si>
  <si>
    <t>London Fringe Day Pupils</t>
  </si>
  <si>
    <t>London Fringe Residential Pupils</t>
  </si>
  <si>
    <t>This funding will be provided in twelve equal installments</t>
  </si>
  <si>
    <t>2015/16 Special School Rates Template</t>
  </si>
  <si>
    <t>Funding Rates -  April 2015 to August 2015</t>
  </si>
  <si>
    <t>Funding Rates -  September 2015 to March 2016</t>
  </si>
  <si>
    <t>Calculation of 2015/16 Funding Rates</t>
  </si>
  <si>
    <t>Need Type Rates - September 2015 to March 2016</t>
  </si>
  <si>
    <t>Final Funding Rate From September 2015 to March 2016</t>
  </si>
  <si>
    <t>2015/16 Formula Rate</t>
  </si>
  <si>
    <t>2014/15 Rate less 1.5%</t>
  </si>
  <si>
    <t>This figure represents 5 months funding at the 2014/15 rate and 7 months at the 2015/16 rate</t>
  </si>
  <si>
    <t>If the weighted rate is less than the 2014/15 rate less 1.5% you will receive MFG for the difference</t>
  </si>
  <si>
    <t>2015/16 Nursery Provision Lump Sum Calculation</t>
  </si>
  <si>
    <t>2015/16</t>
  </si>
  <si>
    <t>2015/16 Pre-16</t>
  </si>
  <si>
    <t>2015/16 Post-16</t>
  </si>
  <si>
    <t>2015/16 Weekday Residential</t>
  </si>
  <si>
    <t>2015/16 Weekend Residential</t>
  </si>
  <si>
    <t>Lump Sum Residential Units 2015/16</t>
  </si>
  <si>
    <t>Free Midday Meals Units 2015/16</t>
  </si>
  <si>
    <t>Gross Day Floor Area Units 2015/16</t>
  </si>
  <si>
    <t>Grounds Site Area Units 2015/16</t>
  </si>
  <si>
    <t>Rentals Units 2015/16</t>
  </si>
  <si>
    <t>Rentals £ 2015/16</t>
  </si>
  <si>
    <t>Hydrotherapy Pool Units 2015/16</t>
  </si>
  <si>
    <t>Split site- Band  1 Units 2015/16</t>
  </si>
  <si>
    <t>Split site - Band 2 Units 2015/16</t>
  </si>
  <si>
    <t>Residential Floor Area Weekday Units 2015/16</t>
  </si>
  <si>
    <t>Residential Floor Area Weekend Units 2015/16</t>
  </si>
  <si>
    <t>Lump Sum Day -2014/15 Formula component £</t>
  </si>
  <si>
    <t>lump Sum Catering Day -2014/15 Formula component £</t>
  </si>
  <si>
    <t>Specialist Schools Funding- Lump Sum -2014/15 Formula component £</t>
  </si>
  <si>
    <t>Free Midday Meals -2014/15 Formula component £</t>
  </si>
  <si>
    <t>Gross Day Floor Area -2014/15 Formula component £</t>
  </si>
  <si>
    <t>Grounds Site Area -2014/15 Formula component £</t>
  </si>
  <si>
    <t>Rentals -2014/15 Formula component £</t>
  </si>
  <si>
    <t>Hydrotherapy Pool -2014/15 Formula component £</t>
  </si>
  <si>
    <t>Split site- Band  1 -2014/15 Formula component £</t>
  </si>
  <si>
    <t>Split site - Band 2 -2014/15 Formula component £</t>
  </si>
  <si>
    <t>Residential Floor Area Weekday -2014/15 Formula component £</t>
  </si>
  <si>
    <t>Residential Floor Area Weekend -2014/15 Formula component £</t>
  </si>
  <si>
    <t>Lump Sum Residential -2014/15 Formula component £</t>
  </si>
  <si>
    <t>MLD &amp; SLCN -2014/15 Rate</t>
  </si>
  <si>
    <t>BESD -2014/15 Rate</t>
  </si>
  <si>
    <t>SLD -2014/15 Rate</t>
  </si>
  <si>
    <t>PD &amp; PMLD -2014/15 Rate</t>
  </si>
  <si>
    <t>ASD -2014/15 Rate</t>
  </si>
  <si>
    <t>Weekday MLD &amp; SLCN -2014/15 Rate</t>
  </si>
  <si>
    <t>Weekday BESD -2014/15 Rate</t>
  </si>
  <si>
    <t>Weekday SLD -2014/15 Rate</t>
  </si>
  <si>
    <t>Weekday PD &amp; PMLD -2014/15 Rate</t>
  </si>
  <si>
    <t>Weekday ASD -2014/15 Rate</t>
  </si>
  <si>
    <t>Weekend MLD &amp; SLCN -2014/15 Rate</t>
  </si>
  <si>
    <t>Weekend BESD -2014/15 Rate</t>
  </si>
  <si>
    <t>Weekend SLD -2014/15 Rate</t>
  </si>
  <si>
    <t>Weekend PD &amp; PMLD -2014/15 Rate</t>
  </si>
  <si>
    <t>Weekend ASD -2014/15 Rate</t>
  </si>
  <si>
    <t>2014/15 for reference</t>
  </si>
  <si>
    <t>Weighted funding for 2014/15 Financial Year</t>
  </si>
  <si>
    <t>Weighted funding for 2014/15 Financial Year MLD &amp; SLCN</t>
  </si>
  <si>
    <t>Weighted funding for 2014/15 Financial Year BESD</t>
  </si>
  <si>
    <t>Weighted funding for 2014/15 Financial Year SLD</t>
  </si>
  <si>
    <t>Weighted funding for 2014/15 Financial Year PD &amp; PMLD</t>
  </si>
  <si>
    <t>Weighted funding for 2014/15 Financial Year ASD</t>
  </si>
  <si>
    <t>Weighted funding for 2014/15 Financial Year Weekday MLD &amp; SLCN</t>
  </si>
  <si>
    <t>Weighted funding for 2014/15 Financial Year Weekday BESD</t>
  </si>
  <si>
    <t>Weighted funding for 2014/15 Financial Year Weekday SLD</t>
  </si>
  <si>
    <t>Weighted funding for 2014/15 Financial Year Weekday PD &amp; PMLD</t>
  </si>
  <si>
    <t>Weighted funding for 2014/15 Financial Year Weekday ASD</t>
  </si>
  <si>
    <t>Weighted funding for 2014/15 Financial Year Weekend MLD &amp; SLCN</t>
  </si>
  <si>
    <t>Weighted funding for 2014/15 Financial Year Weekend BESD</t>
  </si>
  <si>
    <t>Weighted funding for 2014/15 Financial Year Weekend SLD</t>
  </si>
  <si>
    <t>Weighted funding for 2014/15 Financial Year Weekend PD &amp; PMLD</t>
  </si>
  <si>
    <t>Weighted funding for 2014/15 Financial Year Weekend ASD</t>
  </si>
  <si>
    <t>Need Type Rates - April 2015 to August 2015</t>
  </si>
  <si>
    <t>During the period April 2014 to August 2014 the pupil funding rates will be the rates from the period September 2014 to March 2015 with some adjustment. The MFG element if applicable will be removed and replaced with the new MFG value calculated below. In addition, the day/residential element of the total rate will be increased to reflect the new rates shown in the calculation below.</t>
  </si>
  <si>
    <t>Weighted funding for 2015/16 Financial Year (BEFORE MFG)</t>
  </si>
  <si>
    <t>25% of all BESD pupils at BESD Schools are funded at BESD1 and 75% at BESD 2</t>
  </si>
  <si>
    <t>25% of primary aged BESD pupils in B&amp;L schools are funded at BESD 2 with the remaining BESD pupils funded at BESD1. The combined rate has been calculated using the primary/secondary mix as at December 2013</t>
  </si>
  <si>
    <t>All BESD pupils are funded at the BESD1 rate</t>
  </si>
  <si>
    <t>All ASD pupils are funded at the ASD1 rate</t>
  </si>
  <si>
    <t>90 % of ASD pupils funded at ASD1 and 10% of ASD pupils funded at ASD2</t>
  </si>
  <si>
    <t>All ASD pupils at Stone Bay are funded at the ASD2 rate</t>
  </si>
  <si>
    <t>BESD Day Rate 2015/16</t>
  </si>
  <si>
    <t>ASD Day Rate 2015/16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</si>
</sst>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21" x14ac:knownFonts="1">
    <font>
      <sz val="11"/>
      <color theme="1"/>
      <name val="Calibri"/>
      <family val="2"/>
      <scheme val="minor"/>
    </font>
    <font>
      <sz val="12"/>
      <color theme="1"/>
      <name val="Arial"/>
      <family val="2"/>
    </font>
    <font>
      <b/>
      <sz val="11"/>
      <color theme="1"/>
      <name val="Arial"/>
      <family val="2"/>
    </font>
    <font>
      <sz val="11"/>
      <color theme="1"/>
      <name val="Arial"/>
      <family val="2"/>
    </font>
    <font>
      <b/>
      <sz val="14"/>
      <color theme="1"/>
      <name val="Arial"/>
      <family val="2"/>
    </font>
    <font>
      <b/>
      <sz val="20"/>
      <color theme="1"/>
      <name val="Arial"/>
      <family val="2"/>
    </font>
    <font>
      <b/>
      <sz val="11"/>
      <color theme="1"/>
      <name val="Calibri"/>
      <family val="2"/>
      <scheme val="minor"/>
    </font>
    <font>
      <b/>
      <sz val="11"/>
      <color theme="0" tint="-0.499984740745262"/>
      <name val="Arial"/>
      <family val="2"/>
    </font>
    <font>
      <sz val="11"/>
      <color theme="0" tint="-0.499984740745262"/>
      <name val="Arial"/>
      <family val="2"/>
    </font>
    <font>
      <b/>
      <sz val="18"/>
      <color theme="1"/>
      <name val="Arial"/>
      <family val="2"/>
    </font>
    <font>
      <b/>
      <sz val="18"/>
      <color theme="1"/>
      <name val="Calibri"/>
      <family val="2"/>
      <scheme val="minor"/>
    </font>
    <font>
      <sz val="11"/>
      <color theme="0"/>
      <name val="Arial"/>
      <family val="2"/>
    </font>
    <font>
      <sz val="8"/>
      <color theme="1"/>
      <name val="Arial"/>
      <family val="2"/>
    </font>
    <font>
      <sz val="8"/>
      <color theme="1"/>
      <name val="Calibri"/>
      <family val="2"/>
      <scheme val="minor"/>
    </font>
    <font>
      <b/>
      <sz val="16"/>
      <color theme="1"/>
      <name val="Arial"/>
      <family val="2"/>
    </font>
    <font>
      <b/>
      <sz val="12"/>
      <color theme="1"/>
      <name val="Arial"/>
      <family val="2"/>
    </font>
    <font>
      <sz val="12"/>
      <color theme="1"/>
      <name val="Arial"/>
      <family val="2"/>
    </font>
    <font>
      <b/>
      <sz val="14"/>
      <name val="Arial"/>
      <family val="2"/>
    </font>
    <font>
      <sz val="11"/>
      <name val="Arial"/>
      <family val="2"/>
    </font>
    <font>
      <sz val="11"/>
      <name val="Calibri"/>
      <family val="2"/>
      <scheme val="minor"/>
    </font>
    <font>
      <sz val="11"/>
      <color theme="1"/>
      <name val="Calibri"/>
      <family val="2"/>
      <scheme val="minor"/>
    </font>
  </fonts>
  <fills count="4">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s>
  <cellStyleXfs count="2">
    <xf numFmtId="0" fontId="0" fillId="0" borderId="0"/>
    <xf numFmtId="9" fontId="20" fillId="0" borderId="0" applyFont="0" applyFill="0" applyBorder="0" applyAlignment="0" applyProtection="0"/>
  </cellStyleXfs>
  <cellXfs count="127">
    <xf numFmtId="0" fontId="0" fillId="0" borderId="0" xfId="0"/>
    <xf numFmtId="0" fontId="0" fillId="0" borderId="1" xfId="0" applyBorder="1"/>
    <xf numFmtId="0" fontId="0" fillId="0" borderId="1" xfId="0" applyFill="1" applyBorder="1"/>
    <xf numFmtId="0" fontId="0" fillId="0" borderId="1" xfId="0" applyBorder="1" applyAlignment="1">
      <alignment wrapText="1"/>
    </xf>
    <xf numFmtId="0" fontId="0" fillId="0" borderId="1" xfId="0" applyBorder="1" applyAlignment="1"/>
    <xf numFmtId="0" fontId="0" fillId="0" borderId="0" xfId="0" applyFill="1"/>
    <xf numFmtId="0" fontId="0" fillId="2" borderId="1" xfId="0" applyFill="1" applyBorder="1"/>
    <xf numFmtId="0" fontId="0" fillId="0" borderId="1" xfId="0" applyFill="1" applyBorder="1"/>
    <xf numFmtId="0" fontId="2" fillId="3" borderId="1" xfId="0" applyFont="1" applyFill="1" applyBorder="1" applyAlignment="1" applyProtection="1">
      <alignment horizontal="center" vertical="center"/>
      <protection locked="0"/>
    </xf>
    <xf numFmtId="0" fontId="3" fillId="0" borderId="0" xfId="0" applyFont="1" applyProtection="1">
      <protection hidden="1"/>
    </xf>
    <xf numFmtId="0" fontId="5" fillId="0" borderId="0" xfId="0" applyFont="1" applyAlignment="1" applyProtection="1">
      <alignment horizontal="left" vertical="center"/>
      <protection hidden="1"/>
    </xf>
    <xf numFmtId="0" fontId="3" fillId="0" borderId="0" xfId="0" applyFont="1" applyBorder="1" applyProtection="1">
      <protection hidden="1"/>
    </xf>
    <xf numFmtId="0" fontId="2" fillId="0" borderId="1" xfId="0" applyFont="1" applyBorder="1" applyAlignment="1" applyProtection="1">
      <alignment horizontal="center" vertical="center"/>
      <protection hidden="1"/>
    </xf>
    <xf numFmtId="0" fontId="9" fillId="0" borderId="0" xfId="0" applyFont="1" applyFill="1" applyAlignment="1" applyProtection="1">
      <alignment horizontal="center" vertical="center" wrapText="1"/>
      <protection hidden="1"/>
    </xf>
    <xf numFmtId="0" fontId="10" fillId="0" borderId="0" xfId="0" applyFont="1" applyFill="1" applyAlignment="1" applyProtection="1">
      <alignment horizontal="center" vertical="center" wrapText="1"/>
      <protection hidden="1"/>
    </xf>
    <xf numFmtId="0" fontId="2" fillId="0" borderId="0" xfId="0" applyFont="1" applyBorder="1" applyAlignment="1" applyProtection="1">
      <alignment horizontal="center" vertical="center"/>
      <protection hidden="1"/>
    </xf>
    <xf numFmtId="0" fontId="2" fillId="0" borderId="0" xfId="0" applyFont="1" applyFill="1" applyBorder="1" applyAlignment="1" applyProtection="1">
      <alignment horizontal="center" vertical="center"/>
      <protection hidden="1"/>
    </xf>
    <xf numFmtId="0" fontId="9" fillId="0" borderId="0" xfId="0" applyFont="1" applyFill="1" applyAlignment="1" applyProtection="1">
      <alignment horizontal="center" vertical="center" wrapText="1"/>
      <protection hidden="1"/>
    </xf>
    <xf numFmtId="0" fontId="10" fillId="0" borderId="0" xfId="0" applyFont="1" applyFill="1" applyAlignment="1" applyProtection="1">
      <alignment horizontal="center" vertical="center" wrapText="1"/>
      <protection hidden="1"/>
    </xf>
    <xf numFmtId="0" fontId="4" fillId="0" borderId="0" xfId="0" applyFont="1" applyBorder="1" applyProtection="1">
      <protection hidden="1"/>
    </xf>
    <xf numFmtId="0" fontId="4" fillId="0" borderId="0" xfId="0" applyFont="1" applyProtection="1">
      <protection hidden="1"/>
    </xf>
    <xf numFmtId="0" fontId="2" fillId="0" borderId="0" xfId="0" applyFont="1" applyBorder="1" applyAlignment="1" applyProtection="1">
      <alignment wrapText="1"/>
      <protection hidden="1"/>
    </xf>
    <xf numFmtId="0" fontId="2" fillId="0" borderId="1" xfId="0" applyFont="1" applyBorder="1" applyProtection="1">
      <protection hidden="1"/>
    </xf>
    <xf numFmtId="164" fontId="3" fillId="0" borderId="1" xfId="0" applyNumberFormat="1" applyFont="1" applyFill="1" applyBorder="1" applyAlignment="1" applyProtection="1">
      <alignment horizontal="center" vertical="center"/>
      <protection hidden="1"/>
    </xf>
    <xf numFmtId="164" fontId="3" fillId="0" borderId="1" xfId="0" applyNumberFormat="1" applyFont="1" applyFill="1" applyBorder="1" applyProtection="1">
      <protection hidden="1"/>
    </xf>
    <xf numFmtId="0" fontId="2" fillId="0" borderId="0" xfId="0" applyFont="1" applyBorder="1" applyProtection="1">
      <protection hidden="1"/>
    </xf>
    <xf numFmtId="1" fontId="3" fillId="0" borderId="0" xfId="0" applyNumberFormat="1" applyFont="1" applyFill="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164" fontId="3" fillId="0" borderId="19" xfId="0" applyNumberFormat="1" applyFont="1" applyFill="1" applyBorder="1" applyAlignment="1" applyProtection="1">
      <alignment horizontal="center" vertical="center"/>
      <protection hidden="1"/>
    </xf>
    <xf numFmtId="1" fontId="12" fillId="0" borderId="0" xfId="0" applyNumberFormat="1" applyFont="1" applyFill="1" applyBorder="1" applyAlignment="1" applyProtection="1">
      <alignment horizontal="center" vertical="center" wrapText="1"/>
      <protection hidden="1"/>
    </xf>
    <xf numFmtId="0" fontId="6" fillId="0" borderId="1" xfId="0" applyFont="1" applyBorder="1" applyAlignment="1" applyProtection="1">
      <alignment horizontal="left" vertical="top" wrapText="1"/>
      <protection hidden="1"/>
    </xf>
    <xf numFmtId="0" fontId="0" fillId="0" borderId="20" xfId="0"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1" fontId="3" fillId="0" borderId="0" xfId="0" applyNumberFormat="1" applyFont="1" applyBorder="1" applyAlignment="1" applyProtection="1">
      <alignment horizontal="center" vertical="center"/>
      <protection hidden="1"/>
    </xf>
    <xf numFmtId="0" fontId="2" fillId="0" borderId="10" xfId="0" applyFont="1" applyBorder="1" applyAlignment="1" applyProtection="1">
      <alignment wrapText="1"/>
      <protection hidden="1"/>
    </xf>
    <xf numFmtId="0" fontId="2" fillId="0" borderId="11" xfId="0" applyFont="1" applyBorder="1" applyAlignment="1" applyProtection="1">
      <alignment wrapText="1"/>
      <protection hidden="1"/>
    </xf>
    <xf numFmtId="0" fontId="2" fillId="0" borderId="12" xfId="0" applyFont="1" applyBorder="1" applyAlignment="1" applyProtection="1">
      <alignment wrapText="1"/>
      <protection hidden="1"/>
    </xf>
    <xf numFmtId="0" fontId="3" fillId="0" borderId="2" xfId="0" applyFont="1" applyBorder="1" applyProtection="1">
      <protection hidden="1"/>
    </xf>
    <xf numFmtId="0" fontId="2" fillId="0" borderId="3" xfId="0" applyFont="1" applyBorder="1" applyAlignment="1" applyProtection="1">
      <alignment wrapText="1"/>
      <protection hidden="1"/>
    </xf>
    <xf numFmtId="0" fontId="2" fillId="0" borderId="4" xfId="0" applyFont="1" applyBorder="1" applyAlignment="1" applyProtection="1">
      <alignment wrapText="1"/>
      <protection hidden="1"/>
    </xf>
    <xf numFmtId="0" fontId="2" fillId="0" borderId="13" xfId="0" applyFont="1" applyBorder="1" applyProtection="1">
      <protection hidden="1"/>
    </xf>
    <xf numFmtId="1" fontId="3" fillId="0" borderId="14" xfId="0" applyNumberFormat="1" applyFont="1" applyFill="1" applyBorder="1" applyAlignment="1" applyProtection="1">
      <alignment horizontal="center" vertical="center"/>
      <protection hidden="1"/>
    </xf>
    <xf numFmtId="1" fontId="3" fillId="0" borderId="15" xfId="0" applyNumberFormat="1" applyFont="1" applyFill="1" applyBorder="1" applyAlignment="1" applyProtection="1">
      <alignment horizontal="center" vertical="center"/>
      <protection hidden="1"/>
    </xf>
    <xf numFmtId="164" fontId="3" fillId="0" borderId="1" xfId="0" applyNumberFormat="1" applyFont="1" applyFill="1" applyBorder="1" applyAlignment="1" applyProtection="1">
      <alignment horizontal="center" vertical="center"/>
      <protection hidden="1"/>
    </xf>
    <xf numFmtId="0" fontId="2" fillId="0" borderId="5" xfId="0" applyFont="1" applyBorder="1" applyProtection="1">
      <protection hidden="1"/>
    </xf>
    <xf numFmtId="1" fontId="3" fillId="0" borderId="6" xfId="0" applyNumberFormat="1" applyFont="1" applyFill="1" applyBorder="1" applyAlignment="1" applyProtection="1">
      <alignment horizontal="center" vertical="center"/>
      <protection hidden="1"/>
    </xf>
    <xf numFmtId="0" fontId="3" fillId="0" borderId="20" xfId="0" applyFont="1" applyFill="1" applyBorder="1" applyAlignment="1" applyProtection="1">
      <alignment horizontal="center" vertical="center"/>
      <protection hidden="1"/>
    </xf>
    <xf numFmtId="0" fontId="0" fillId="0" borderId="1" xfId="0" applyFill="1" applyBorder="1" applyAlignment="1" applyProtection="1">
      <alignment horizontal="center" vertical="center"/>
      <protection hidden="1"/>
    </xf>
    <xf numFmtId="1" fontId="3" fillId="0" borderId="6" xfId="0" applyNumberFormat="1" applyFont="1" applyBorder="1" applyAlignment="1" applyProtection="1">
      <alignment horizontal="center" vertical="center"/>
      <protection hidden="1"/>
    </xf>
    <xf numFmtId="0" fontId="2" fillId="0" borderId="7" xfId="0" applyFont="1" applyBorder="1" applyProtection="1">
      <protection hidden="1"/>
    </xf>
    <xf numFmtId="0" fontId="3" fillId="0" borderId="8" xfId="0" applyFont="1" applyBorder="1" applyProtection="1">
      <protection hidden="1"/>
    </xf>
    <xf numFmtId="0" fontId="3" fillId="0" borderId="9" xfId="0" applyFont="1" applyBorder="1" applyProtection="1">
      <protection hidden="1"/>
    </xf>
    <xf numFmtId="0" fontId="17" fillId="0" borderId="21" xfId="0" applyFont="1" applyFill="1" applyBorder="1" applyProtection="1">
      <protection hidden="1"/>
    </xf>
    <xf numFmtId="0" fontId="18" fillId="0" borderId="22" xfId="0" applyFont="1" applyFill="1" applyBorder="1" applyProtection="1">
      <protection hidden="1"/>
    </xf>
    <xf numFmtId="0" fontId="18" fillId="0" borderId="23" xfId="0" applyFont="1" applyFill="1" applyBorder="1" applyProtection="1">
      <protection hidden="1"/>
    </xf>
    <xf numFmtId="0" fontId="18" fillId="0" borderId="24" xfId="0" applyFont="1" applyFill="1" applyBorder="1" applyProtection="1">
      <protection hidden="1"/>
    </xf>
    <xf numFmtId="0" fontId="18" fillId="0" borderId="0" xfId="0" applyFont="1" applyFill="1" applyBorder="1" applyProtection="1">
      <protection hidden="1"/>
    </xf>
    <xf numFmtId="0" fontId="18" fillId="0" borderId="25" xfId="0" applyFont="1" applyFill="1" applyBorder="1" applyProtection="1">
      <protection hidden="1"/>
    </xf>
    <xf numFmtId="0" fontId="18" fillId="0" borderId="26" xfId="0" applyFont="1" applyFill="1" applyBorder="1" applyAlignment="1" applyProtection="1">
      <alignment horizontal="left" vertical="top" wrapText="1"/>
      <protection hidden="1"/>
    </xf>
    <xf numFmtId="0" fontId="19" fillId="0" borderId="27" xfId="0" applyFont="1" applyFill="1" applyBorder="1" applyAlignment="1" applyProtection="1">
      <alignment horizontal="left" vertical="top" wrapText="1"/>
      <protection hidden="1"/>
    </xf>
    <xf numFmtId="0" fontId="19" fillId="0" borderId="27" xfId="0" applyFont="1" applyFill="1" applyBorder="1" applyAlignment="1" applyProtection="1">
      <alignment wrapText="1"/>
      <protection hidden="1"/>
    </xf>
    <xf numFmtId="0" fontId="19" fillId="0" borderId="28" xfId="0" applyFont="1" applyFill="1" applyBorder="1" applyAlignment="1" applyProtection="1">
      <alignment wrapText="1"/>
      <protection hidden="1"/>
    </xf>
    <xf numFmtId="0" fontId="3" fillId="0" borderId="0" xfId="0" applyFont="1" applyAlignment="1" applyProtection="1">
      <alignment horizontal="left" vertical="top" wrapText="1"/>
      <protection hidden="1"/>
    </xf>
    <xf numFmtId="0" fontId="0" fillId="0" borderId="0" xfId="0" applyAlignment="1" applyProtection="1">
      <alignment horizontal="left" vertical="top" wrapText="1"/>
      <protection hidden="1"/>
    </xf>
    <xf numFmtId="0" fontId="11" fillId="0" borderId="0" xfId="0" applyFont="1" applyProtection="1">
      <protection hidden="1"/>
    </xf>
    <xf numFmtId="0" fontId="2" fillId="0" borderId="0" xfId="0" applyFont="1" applyProtection="1">
      <protection hidden="1"/>
    </xf>
    <xf numFmtId="0" fontId="3" fillId="0" borderId="2" xfId="0" applyFont="1" applyFill="1" applyBorder="1" applyAlignment="1" applyProtection="1">
      <alignment horizontal="left" vertical="top" wrapText="1"/>
      <protection hidden="1"/>
    </xf>
    <xf numFmtId="0" fontId="0" fillId="0" borderId="3" xfId="0" applyFill="1" applyBorder="1" applyAlignment="1" applyProtection="1">
      <alignment horizontal="left" vertical="top" wrapText="1"/>
      <protection hidden="1"/>
    </xf>
    <xf numFmtId="0" fontId="0" fillId="0" borderId="4" xfId="0" applyFill="1" applyBorder="1" applyAlignment="1" applyProtection="1">
      <alignment horizontal="left" vertical="top" wrapText="1"/>
      <protection hidden="1"/>
    </xf>
    <xf numFmtId="0" fontId="0" fillId="0" borderId="4" xfId="0" applyFill="1" applyBorder="1" applyAlignment="1" applyProtection="1">
      <protection hidden="1"/>
    </xf>
    <xf numFmtId="0" fontId="2" fillId="0" borderId="16" xfId="0" applyFont="1" applyBorder="1" applyAlignment="1" applyProtection="1">
      <alignment horizontal="left" vertical="center" wrapText="1"/>
      <protection hidden="1"/>
    </xf>
    <xf numFmtId="0" fontId="6" fillId="0" borderId="17" xfId="0" applyFont="1" applyBorder="1" applyAlignment="1" applyProtection="1">
      <alignment horizontal="left" vertical="center" wrapText="1"/>
      <protection hidden="1"/>
    </xf>
    <xf numFmtId="164" fontId="3" fillId="0" borderId="1" xfId="0" applyNumberFormat="1" applyFont="1" applyFill="1" applyBorder="1" applyAlignment="1" applyProtection="1">
      <alignment horizontal="left" vertical="center"/>
      <protection hidden="1"/>
    </xf>
    <xf numFmtId="0" fontId="0" fillId="0" borderId="5" xfId="0" applyFill="1" applyBorder="1" applyAlignment="1" applyProtection="1">
      <alignment horizontal="left" vertical="top" wrapText="1"/>
      <protection hidden="1"/>
    </xf>
    <xf numFmtId="0" fontId="0" fillId="0" borderId="0" xfId="0" applyFill="1" applyBorder="1" applyAlignment="1" applyProtection="1">
      <alignment horizontal="left" vertical="top" wrapText="1"/>
      <protection hidden="1"/>
    </xf>
    <xf numFmtId="0" fontId="0" fillId="0" borderId="6" xfId="0" applyFill="1" applyBorder="1" applyAlignment="1" applyProtection="1">
      <alignment horizontal="left" vertical="top" wrapText="1"/>
      <protection hidden="1"/>
    </xf>
    <xf numFmtId="0" fontId="0" fillId="0" borderId="6" xfId="0" applyFill="1" applyBorder="1" applyAlignment="1" applyProtection="1">
      <protection hidden="1"/>
    </xf>
    <xf numFmtId="0" fontId="0" fillId="0" borderId="7" xfId="0" applyFill="1" applyBorder="1" applyAlignment="1" applyProtection="1">
      <alignment horizontal="left" vertical="top" wrapText="1"/>
      <protection hidden="1"/>
    </xf>
    <xf numFmtId="0" fontId="0" fillId="0" borderId="8" xfId="0" applyFill="1" applyBorder="1" applyAlignment="1" applyProtection="1">
      <alignment horizontal="left" vertical="top" wrapText="1"/>
      <protection hidden="1"/>
    </xf>
    <xf numFmtId="0" fontId="0" fillId="0" borderId="9" xfId="0" applyFill="1" applyBorder="1" applyAlignment="1" applyProtection="1">
      <alignment horizontal="left" vertical="top" wrapText="1"/>
      <protection hidden="1"/>
    </xf>
    <xf numFmtId="0" fontId="0" fillId="0" borderId="9" xfId="0" applyFill="1" applyBorder="1" applyAlignment="1" applyProtection="1">
      <protection hidden="1"/>
    </xf>
    <xf numFmtId="0" fontId="0" fillId="0" borderId="0" xfId="0" applyBorder="1" applyAlignment="1" applyProtection="1">
      <alignment horizontal="left" vertical="top" wrapText="1"/>
      <protection hidden="1"/>
    </xf>
    <xf numFmtId="0" fontId="0" fillId="0" borderId="0" xfId="0" applyBorder="1" applyAlignment="1" applyProtection="1">
      <protection hidden="1"/>
    </xf>
    <xf numFmtId="0" fontId="2" fillId="0" borderId="17" xfId="0" applyFont="1" applyBorder="1" applyProtection="1">
      <protection hidden="1"/>
    </xf>
    <xf numFmtId="0" fontId="3" fillId="0" borderId="17" xfId="0" applyFont="1" applyBorder="1" applyProtection="1">
      <protection hidden="1"/>
    </xf>
    <xf numFmtId="164" fontId="3" fillId="0" borderId="17" xfId="0" applyNumberFormat="1" applyFont="1" applyFill="1" applyBorder="1" applyProtection="1">
      <protection hidden="1"/>
    </xf>
    <xf numFmtId="0" fontId="3" fillId="0" borderId="0" xfId="0" applyFont="1" applyFill="1" applyProtection="1">
      <protection hidden="1"/>
    </xf>
    <xf numFmtId="164" fontId="3" fillId="0" borderId="0" xfId="0" applyNumberFormat="1" applyFont="1" applyFill="1" applyProtection="1">
      <protection hidden="1"/>
    </xf>
    <xf numFmtId="0" fontId="2" fillId="0" borderId="16" xfId="0" applyFont="1" applyBorder="1" applyAlignment="1" applyProtection="1">
      <alignment horizontal="center" vertical="center"/>
      <protection hidden="1"/>
    </xf>
    <xf numFmtId="0" fontId="0" fillId="0" borderId="17" xfId="0" applyBorder="1" applyAlignment="1" applyProtection="1">
      <alignment horizontal="center" vertical="center"/>
      <protection hidden="1"/>
    </xf>
    <xf numFmtId="0" fontId="0" fillId="0" borderId="18" xfId="0" applyBorder="1" applyAlignment="1" applyProtection="1">
      <alignment horizontal="center" vertical="center"/>
      <protection hidden="1"/>
    </xf>
    <xf numFmtId="0" fontId="7" fillId="0" borderId="1" xfId="0" applyFont="1" applyBorder="1" applyAlignment="1" applyProtection="1">
      <alignment horizontal="center" vertical="center"/>
      <protection hidden="1"/>
    </xf>
    <xf numFmtId="164" fontId="3" fillId="0" borderId="16" xfId="0" applyNumberFormat="1" applyFont="1" applyFill="1" applyBorder="1" applyAlignment="1" applyProtection="1">
      <alignment horizontal="center" vertical="center"/>
      <protection hidden="1"/>
    </xf>
    <xf numFmtId="0" fontId="0" fillId="0" borderId="17" xfId="0" applyFill="1" applyBorder="1" applyAlignment="1" applyProtection="1">
      <alignment horizontal="center" vertical="center"/>
      <protection hidden="1"/>
    </xf>
    <xf numFmtId="0" fontId="0" fillId="0" borderId="18" xfId="0" applyFill="1" applyBorder="1" applyAlignment="1" applyProtection="1">
      <alignment horizontal="center" vertical="center"/>
      <protection hidden="1"/>
    </xf>
    <xf numFmtId="3" fontId="3" fillId="0" borderId="1" xfId="0" applyNumberFormat="1" applyFont="1" applyFill="1" applyBorder="1" applyAlignment="1" applyProtection="1">
      <alignment horizontal="left" vertical="center"/>
      <protection hidden="1"/>
    </xf>
    <xf numFmtId="164" fontId="8" fillId="0" borderId="1" xfId="0" applyNumberFormat="1" applyFont="1" applyFill="1" applyBorder="1" applyAlignment="1" applyProtection="1">
      <alignment horizontal="left" vertical="center"/>
      <protection hidden="1"/>
    </xf>
    <xf numFmtId="0" fontId="2" fillId="0" borderId="16" xfId="0" applyFont="1" applyFill="1" applyBorder="1" applyAlignment="1" applyProtection="1">
      <alignment horizontal="left" vertical="center" wrapText="1"/>
      <protection hidden="1"/>
    </xf>
    <xf numFmtId="0" fontId="6" fillId="0" borderId="17" xfId="0" applyFont="1" applyFill="1" applyBorder="1" applyAlignment="1" applyProtection="1">
      <alignment horizontal="left" vertical="center" wrapText="1"/>
      <protection hidden="1"/>
    </xf>
    <xf numFmtId="0" fontId="3" fillId="0" borderId="0" xfId="0" applyFont="1" applyFill="1" applyBorder="1" applyProtection="1">
      <protection hidden="1"/>
    </xf>
    <xf numFmtId="0" fontId="2" fillId="0" borderId="0" xfId="0" applyFont="1" applyAlignment="1" applyProtection="1">
      <alignment horizontal="right"/>
      <protection hidden="1"/>
    </xf>
    <xf numFmtId="164" fontId="2" fillId="0" borderId="29" xfId="0" applyNumberFormat="1" applyFont="1" applyFill="1" applyBorder="1" applyProtection="1">
      <protection hidden="1"/>
    </xf>
    <xf numFmtId="0" fontId="12" fillId="0" borderId="1" xfId="0" applyFont="1" applyBorder="1" applyAlignment="1" applyProtection="1">
      <alignment horizontal="left" vertical="center" wrapText="1"/>
      <protection hidden="1"/>
    </xf>
    <xf numFmtId="0" fontId="12" fillId="0" borderId="0" xfId="0" applyFont="1" applyBorder="1" applyAlignment="1" applyProtection="1">
      <alignment horizontal="left" vertical="center" wrapText="1"/>
      <protection hidden="1"/>
    </xf>
    <xf numFmtId="164" fontId="3" fillId="0" borderId="0" xfId="0" applyNumberFormat="1" applyFont="1" applyProtection="1">
      <protection hidden="1"/>
    </xf>
    <xf numFmtId="0" fontId="13" fillId="0" borderId="1" xfId="0" applyFont="1" applyBorder="1" applyAlignment="1" applyProtection="1">
      <alignment horizontal="left" vertical="center" wrapText="1"/>
      <protection hidden="1"/>
    </xf>
    <xf numFmtId="0" fontId="13" fillId="0" borderId="0" xfId="0" applyFont="1" applyBorder="1" applyAlignment="1" applyProtection="1">
      <alignment horizontal="left" vertical="center" wrapText="1"/>
      <protection hidden="1"/>
    </xf>
    <xf numFmtId="0" fontId="2"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2" fillId="0" borderId="1" xfId="0" applyFont="1" applyBorder="1" applyAlignment="1" applyProtection="1">
      <alignment horizontal="left" vertical="center" wrapText="1"/>
      <protection hidden="1"/>
    </xf>
    <xf numFmtId="0" fontId="2" fillId="0" borderId="1" xfId="0" applyFont="1" applyBorder="1" applyAlignment="1" applyProtection="1">
      <alignment horizontal="left" vertical="center"/>
      <protection hidden="1"/>
    </xf>
    <xf numFmtId="0" fontId="2" fillId="0" borderId="0" xfId="0" applyFont="1"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left" vertical="center" wrapText="1"/>
      <protection hidden="1"/>
    </xf>
    <xf numFmtId="164" fontId="3" fillId="0" borderId="0" xfId="0" applyNumberFormat="1" applyFont="1" applyFill="1" applyBorder="1" applyProtection="1">
      <protection hidden="1"/>
    </xf>
    <xf numFmtId="0" fontId="2" fillId="0" borderId="1" xfId="0" applyFont="1" applyFill="1" applyBorder="1" applyAlignment="1" applyProtection="1">
      <alignment horizontal="center" vertical="center"/>
      <protection hidden="1"/>
    </xf>
    <xf numFmtId="0" fontId="14" fillId="0" borderId="0" xfId="0" applyFont="1" applyProtection="1">
      <protection hidden="1"/>
    </xf>
    <xf numFmtId="0" fontId="16" fillId="0" borderId="0" xfId="0" applyFont="1" applyProtection="1">
      <protection hidden="1"/>
    </xf>
    <xf numFmtId="0" fontId="15" fillId="0" borderId="1" xfId="0" applyFont="1" applyBorder="1" applyProtection="1">
      <protection hidden="1"/>
    </xf>
    <xf numFmtId="164" fontId="16" fillId="0" borderId="1" xfId="0" applyNumberFormat="1" applyFont="1" applyFill="1" applyBorder="1" applyProtection="1">
      <protection hidden="1"/>
    </xf>
    <xf numFmtId="0" fontId="15" fillId="0" borderId="0" xfId="0" applyFont="1" applyProtection="1">
      <protection hidden="1"/>
    </xf>
    <xf numFmtId="0" fontId="16" fillId="0" borderId="1" xfId="0" applyFont="1" applyBorder="1" applyProtection="1">
      <protection hidden="1"/>
    </xf>
    <xf numFmtId="10" fontId="0" fillId="0" borderId="0" xfId="1" applyNumberFormat="1" applyFont="1" applyProtection="1">
      <protection hidden="1"/>
    </xf>
    <xf numFmtId="0" fontId="16" fillId="0" borderId="1" xfId="0" applyFont="1" applyFill="1" applyBorder="1" applyProtection="1">
      <protection hidden="1"/>
    </xf>
    <xf numFmtId="0" fontId="16" fillId="0" borderId="0" xfId="0" applyFont="1" applyFill="1" applyProtection="1">
      <protection hidden="1"/>
    </xf>
    <xf numFmtId="0" fontId="15" fillId="0" borderId="0" xfId="0" applyFont="1" applyAlignment="1" applyProtection="1">
      <alignment horizontal="right"/>
      <protection hidden="1"/>
    </xf>
    <xf numFmtId="164" fontId="15" fillId="0" borderId="29" xfId="0" applyNumberFormat="1" applyFont="1" applyFill="1" applyBorder="1" applyProtection="1">
      <protection hidden="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0</xdr:row>
      <xdr:rowOff>107950</xdr:rowOff>
    </xdr:from>
    <xdr:to>
      <xdr:col>3</xdr:col>
      <xdr:colOff>203200</xdr:colOff>
      <xdr:row>6</xdr:row>
      <xdr:rowOff>50800</xdr:rowOff>
    </xdr:to>
    <xdr:pic>
      <xdr:nvPicPr>
        <xdr:cNvPr id="2" name="Picture 6" descr="C:\Documents and Settings\PlummO01\Desktop\KCC_Logo_New_2012_Framed.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107950"/>
          <a:ext cx="1749425" cy="1149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Z124"/>
  <sheetViews>
    <sheetView showGridLines="0" tabSelected="1" zoomScaleNormal="100" workbookViewId="0">
      <selection activeCell="C8" sqref="C8"/>
    </sheetView>
  </sheetViews>
  <sheetFormatPr defaultRowHeight="14.25" x14ac:dyDescent="0.2"/>
  <cols>
    <col min="1" max="1" width="3.7109375" style="9" customWidth="1"/>
    <col min="2" max="2" width="11.28515625" style="9" customWidth="1"/>
    <col min="3" max="3" width="12.42578125" style="9" customWidth="1"/>
    <col min="4" max="4" width="9.140625" style="9"/>
    <col min="5" max="5" width="12.5703125" style="9" customWidth="1"/>
    <col min="6" max="6" width="13.42578125" style="9" customWidth="1"/>
    <col min="7" max="7" width="12.42578125" style="9" customWidth="1"/>
    <col min="8" max="8" width="9.28515625" style="9" customWidth="1"/>
    <col min="9" max="9" width="12.140625" style="9" customWidth="1"/>
    <col min="10" max="14" width="14.28515625" style="9" customWidth="1"/>
    <col min="15" max="16" width="4" style="11" customWidth="1"/>
    <col min="17" max="18" width="9.140625" style="9" customWidth="1"/>
    <col min="19" max="19" width="9.140625" style="9"/>
    <col min="20" max="20" width="13.85546875" style="9" bestFit="1" customWidth="1"/>
    <col min="21" max="21" width="22.85546875" style="9" bestFit="1" customWidth="1"/>
    <col min="22" max="25" width="14.28515625" style="9" customWidth="1"/>
    <col min="26" max="26" width="22.85546875" style="9" bestFit="1" customWidth="1"/>
    <col min="27" max="16384" width="9.140625" style="9"/>
  </cols>
  <sheetData>
    <row r="4" spans="2:14" ht="26.25" x14ac:dyDescent="0.2">
      <c r="E4" s="10" t="s">
        <v>136</v>
      </c>
    </row>
    <row r="8" spans="2:14" ht="23.25" x14ac:dyDescent="0.2">
      <c r="B8" s="12" t="s">
        <v>0</v>
      </c>
      <c r="C8" s="8"/>
      <c r="E8" s="13" t="e">
        <f>HLOOKUP($C$8,'Lookup Table'!$A$1:$Y$86,2,0)</f>
        <v>#N/A</v>
      </c>
      <c r="F8" s="14"/>
      <c r="G8" s="14"/>
      <c r="H8" s="14"/>
      <c r="I8" s="14"/>
      <c r="J8" s="14"/>
      <c r="K8" s="14"/>
    </row>
    <row r="9" spans="2:14" ht="23.25" x14ac:dyDescent="0.2">
      <c r="B9" s="15"/>
      <c r="C9" s="16"/>
      <c r="E9" s="17"/>
      <c r="F9" s="18"/>
      <c r="G9" s="18"/>
      <c r="H9" s="18"/>
      <c r="I9" s="18"/>
      <c r="J9" s="18"/>
      <c r="K9" s="18"/>
    </row>
    <row r="10" spans="2:14" ht="18" x14ac:dyDescent="0.25">
      <c r="B10" s="19" t="s">
        <v>112</v>
      </c>
      <c r="C10" s="11"/>
      <c r="D10" s="11"/>
      <c r="E10" s="11"/>
      <c r="F10" s="11"/>
      <c r="G10" s="11"/>
      <c r="J10" s="20" t="s">
        <v>137</v>
      </c>
    </row>
    <row r="11" spans="2:14" x14ac:dyDescent="0.2">
      <c r="B11" s="11"/>
      <c r="C11" s="11"/>
      <c r="D11" s="11"/>
      <c r="E11" s="11"/>
      <c r="F11" s="11"/>
      <c r="G11" s="11"/>
    </row>
    <row r="12" spans="2:14" ht="36.75" customHeight="1" x14ac:dyDescent="0.25">
      <c r="B12" s="21"/>
      <c r="C12" s="21"/>
      <c r="D12" s="21"/>
      <c r="E12" s="21"/>
      <c r="F12" s="21"/>
      <c r="G12" s="21"/>
      <c r="J12" s="12" t="s">
        <v>17</v>
      </c>
      <c r="K12" s="12" t="s">
        <v>18</v>
      </c>
      <c r="L12" s="12" t="s">
        <v>19</v>
      </c>
      <c r="M12" s="12" t="s">
        <v>20</v>
      </c>
      <c r="N12" s="12" t="s">
        <v>21</v>
      </c>
    </row>
    <row r="13" spans="2:14" ht="15" x14ac:dyDescent="0.25">
      <c r="B13" s="11"/>
      <c r="C13" s="21"/>
      <c r="D13" s="21"/>
      <c r="E13" s="21"/>
      <c r="F13" s="21"/>
      <c r="G13" s="21"/>
      <c r="I13" s="22" t="s">
        <v>101</v>
      </c>
      <c r="J13" s="23" t="e">
        <f>HLOOKUP($C$8,'Lookup Table'!$A$1:$Y$86,41,0)+J98</f>
        <v>#N/A</v>
      </c>
      <c r="K13" s="24" t="e">
        <f>HLOOKUP($C$8,'Lookup Table'!$A$1:$Y$86,42,0)+K98</f>
        <v>#N/A</v>
      </c>
      <c r="L13" s="23" t="e">
        <f>HLOOKUP($C$8,'Lookup Table'!$A$1:$Y$86,43,0)+L98</f>
        <v>#N/A</v>
      </c>
      <c r="M13" s="23" t="e">
        <f>HLOOKUP($C$8,'Lookup Table'!$A$1:$Y$86,44,0)+M98</f>
        <v>#N/A</v>
      </c>
      <c r="N13" s="23" t="e">
        <f>HLOOKUP($C$8,'Lookup Table'!$A$1:$Y$86,45,0)+N98</f>
        <v>#N/A</v>
      </c>
    </row>
    <row r="14" spans="2:14" ht="15" x14ac:dyDescent="0.25">
      <c r="B14" s="25"/>
      <c r="C14" s="26"/>
      <c r="D14" s="26"/>
      <c r="E14" s="26"/>
      <c r="F14" s="26"/>
      <c r="G14" s="26"/>
      <c r="I14" s="27" t="s">
        <v>4</v>
      </c>
      <c r="J14" s="28" t="e">
        <f>HLOOKUP($C$8,'Lookup Table'!$A$1:$Y$86,46,0)+J99</f>
        <v>#N/A</v>
      </c>
      <c r="K14" s="28" t="e">
        <f>HLOOKUP($C$8,'Lookup Table'!$A$1:$Y$86,47,0)+K99</f>
        <v>#N/A</v>
      </c>
      <c r="L14" s="28" t="e">
        <f>HLOOKUP($C$8,'Lookup Table'!$A$1:$Y$86,48,0)+L99</f>
        <v>#N/A</v>
      </c>
      <c r="M14" s="28" t="e">
        <f>HLOOKUP($C$8,'Lookup Table'!$A$1:$Y$86,49,0)+M99</f>
        <v>#N/A</v>
      </c>
      <c r="N14" s="28" t="e">
        <f>HLOOKUP($C$8,'Lookup Table'!$A$1:$Y$86,50,0)+N99</f>
        <v>#N/A</v>
      </c>
    </row>
    <row r="15" spans="2:14" ht="15" x14ac:dyDescent="0.25">
      <c r="B15" s="25"/>
      <c r="C15" s="29"/>
      <c r="D15" s="26"/>
      <c r="E15" s="26"/>
      <c r="F15" s="26"/>
      <c r="G15" s="26"/>
      <c r="I15" s="30"/>
      <c r="J15" s="31"/>
      <c r="K15" s="31"/>
      <c r="L15" s="31"/>
      <c r="M15" s="31"/>
      <c r="N15" s="31"/>
    </row>
    <row r="16" spans="2:14" ht="15" x14ac:dyDescent="0.25">
      <c r="B16" s="25"/>
      <c r="C16" s="32"/>
      <c r="D16" s="26"/>
      <c r="E16" s="26"/>
      <c r="F16" s="26"/>
      <c r="G16" s="26"/>
      <c r="I16" s="27" t="s">
        <v>5</v>
      </c>
      <c r="J16" s="28" t="e">
        <f>HLOOKUP($C$8,'Lookup Table'!$A$1:$Y$86,51,0)+J100</f>
        <v>#N/A</v>
      </c>
      <c r="K16" s="28" t="e">
        <f>HLOOKUP($C$8,'Lookup Table'!$A$1:$Y$86,52,0)+K100</f>
        <v>#N/A</v>
      </c>
      <c r="L16" s="28" t="e">
        <f>HLOOKUP($C$8,'Lookup Table'!$A$1:$Y$86,53,0)+L100</f>
        <v>#N/A</v>
      </c>
      <c r="M16" s="28" t="e">
        <f>HLOOKUP($C$8,'Lookup Table'!$A$1:$Y$86,54,0)+M100</f>
        <v>#N/A</v>
      </c>
      <c r="N16" s="28" t="e">
        <f>HLOOKUP($C$8,'Lookup Table'!$A$1:$Y$86,55,0)+N100</f>
        <v>#N/A</v>
      </c>
    </row>
    <row r="17" spans="1:14" ht="15" x14ac:dyDescent="0.25">
      <c r="B17" s="25"/>
      <c r="C17" s="32"/>
      <c r="D17" s="33"/>
      <c r="E17" s="33"/>
      <c r="F17" s="33"/>
      <c r="G17" s="33"/>
      <c r="I17" s="30"/>
      <c r="J17" s="31"/>
      <c r="K17" s="31"/>
      <c r="L17" s="31"/>
      <c r="M17" s="31"/>
      <c r="N17" s="31"/>
    </row>
    <row r="20" spans="1:14" ht="18" x14ac:dyDescent="0.25">
      <c r="B20" s="20" t="s">
        <v>1</v>
      </c>
      <c r="J20" s="20" t="s">
        <v>138</v>
      </c>
    </row>
    <row r="21" spans="1:14" ht="15" thickBot="1" x14ac:dyDescent="0.25"/>
    <row r="22" spans="1:14" ht="30.75" thickBot="1" x14ac:dyDescent="0.3">
      <c r="B22" s="34" t="s">
        <v>52</v>
      </c>
      <c r="C22" s="35" t="s">
        <v>2</v>
      </c>
      <c r="D22" s="35" t="s">
        <v>3</v>
      </c>
      <c r="E22" s="35" t="s">
        <v>4</v>
      </c>
      <c r="F22" s="36" t="s">
        <v>5</v>
      </c>
      <c r="J22" s="12" t="s">
        <v>17</v>
      </c>
      <c r="K22" s="12" t="s">
        <v>18</v>
      </c>
      <c r="L22" s="12" t="s">
        <v>19</v>
      </c>
      <c r="M22" s="12" t="s">
        <v>20</v>
      </c>
      <c r="N22" s="12" t="s">
        <v>21</v>
      </c>
    </row>
    <row r="23" spans="1:14" ht="15" x14ac:dyDescent="0.25">
      <c r="B23" s="37"/>
      <c r="C23" s="38"/>
      <c r="D23" s="38"/>
      <c r="E23" s="38"/>
      <c r="F23" s="39"/>
      <c r="I23" s="22" t="s">
        <v>101</v>
      </c>
      <c r="J23" s="23" t="e">
        <f>J106</f>
        <v>#N/A</v>
      </c>
      <c r="K23" s="23" t="e">
        <f>K106</f>
        <v>#N/A</v>
      </c>
      <c r="L23" s="23" t="e">
        <f t="shared" ref="L23:N23" si="0">L106</f>
        <v>#N/A</v>
      </c>
      <c r="M23" s="23" t="e">
        <f t="shared" si="0"/>
        <v>#N/A</v>
      </c>
      <c r="N23" s="23" t="e">
        <f t="shared" si="0"/>
        <v>#N/A</v>
      </c>
    </row>
    <row r="24" spans="1:14" ht="15" x14ac:dyDescent="0.25">
      <c r="B24" s="40" t="s">
        <v>6</v>
      </c>
      <c r="C24" s="41" t="e">
        <f>HLOOKUP($C$8,'Lookup Table'!$A$1:$Y$86,4,0)</f>
        <v>#N/A</v>
      </c>
      <c r="D24" s="41" t="e">
        <f>HLOOKUP($C$8,'Lookup Table'!$A$1:$Y$86,5,0)</f>
        <v>#N/A</v>
      </c>
      <c r="E24" s="41" t="e">
        <f>HLOOKUP($C$8,'Lookup Table'!$A$1:$Y$86,6,0)</f>
        <v>#N/A</v>
      </c>
      <c r="F24" s="42" t="e">
        <f>HLOOKUP($C$8,'Lookup Table'!$A$1:$Y$86,7,0)</f>
        <v>#N/A</v>
      </c>
      <c r="I24" s="27" t="s">
        <v>4</v>
      </c>
      <c r="J24" s="28" t="e">
        <f>J107</f>
        <v>#N/A</v>
      </c>
      <c r="K24" s="43" t="e">
        <f>K107</f>
        <v>#N/A</v>
      </c>
      <c r="L24" s="43" t="e">
        <f>L107</f>
        <v>#N/A</v>
      </c>
      <c r="M24" s="43" t="e">
        <f>M107</f>
        <v>#N/A</v>
      </c>
      <c r="N24" s="43" t="e">
        <f>N107</f>
        <v>#N/A</v>
      </c>
    </row>
    <row r="25" spans="1:14" ht="15" customHeight="1" x14ac:dyDescent="0.25">
      <c r="B25" s="44"/>
      <c r="C25" s="26"/>
      <c r="D25" s="26"/>
      <c r="E25" s="26"/>
      <c r="F25" s="45"/>
      <c r="I25" s="30"/>
      <c r="J25" s="46"/>
      <c r="K25" s="47"/>
      <c r="L25" s="47"/>
      <c r="M25" s="47"/>
      <c r="N25" s="47"/>
    </row>
    <row r="26" spans="1:14" ht="15" x14ac:dyDescent="0.25">
      <c r="B26" s="40" t="s">
        <v>147</v>
      </c>
      <c r="C26" s="41" t="e">
        <f>HLOOKUP($C$8,'Lookup Table'!$A$1:$Y$86,8,0)</f>
        <v>#N/A</v>
      </c>
      <c r="D26" s="41" t="e">
        <f>HLOOKUP($C$8,'Lookup Table'!$A$1:$Y$86,9,0)</f>
        <v>#N/A</v>
      </c>
      <c r="E26" s="41" t="e">
        <f>HLOOKUP($C$8,'Lookup Table'!$A$1:$Y$86,10,0)</f>
        <v>#N/A</v>
      </c>
      <c r="F26" s="42" t="e">
        <f>HLOOKUP($C$8,'Lookup Table'!$A$1:$Y$86,11,0)</f>
        <v>#N/A</v>
      </c>
      <c r="I26" s="27" t="s">
        <v>5</v>
      </c>
      <c r="J26" s="28" t="e">
        <f>J108</f>
        <v>#N/A</v>
      </c>
      <c r="K26" s="43" t="e">
        <f>K108</f>
        <v>#N/A</v>
      </c>
      <c r="L26" s="43" t="e">
        <f>L108</f>
        <v>#N/A</v>
      </c>
      <c r="M26" s="43" t="e">
        <f>M108</f>
        <v>#N/A</v>
      </c>
      <c r="N26" s="43" t="e">
        <f>N108</f>
        <v>#N/A</v>
      </c>
    </row>
    <row r="27" spans="1:14" ht="15" x14ac:dyDescent="0.25">
      <c r="B27" s="44"/>
      <c r="C27" s="33"/>
      <c r="D27" s="33"/>
      <c r="E27" s="33"/>
      <c r="F27" s="48"/>
      <c r="I27" s="30"/>
      <c r="J27" s="46"/>
      <c r="K27" s="47"/>
      <c r="L27" s="47"/>
      <c r="M27" s="47"/>
      <c r="N27" s="47"/>
    </row>
    <row r="28" spans="1:14" ht="15" x14ac:dyDescent="0.25">
      <c r="B28" s="40" t="s">
        <v>7</v>
      </c>
      <c r="C28" s="41" t="e">
        <f t="shared" ref="C28:F28" si="1">C26-C24</f>
        <v>#N/A</v>
      </c>
      <c r="D28" s="41" t="e">
        <f t="shared" si="1"/>
        <v>#N/A</v>
      </c>
      <c r="E28" s="41" t="e">
        <f t="shared" si="1"/>
        <v>#N/A</v>
      </c>
      <c r="F28" s="42" t="e">
        <f t="shared" si="1"/>
        <v>#N/A</v>
      </c>
    </row>
    <row r="29" spans="1:14" ht="15.75" thickBot="1" x14ac:dyDescent="0.3">
      <c r="B29" s="49"/>
      <c r="C29" s="50"/>
      <c r="D29" s="50"/>
      <c r="E29" s="50"/>
      <c r="F29" s="51"/>
    </row>
    <row r="31" spans="1:14" x14ac:dyDescent="0.2">
      <c r="A31" s="11"/>
      <c r="B31" s="11"/>
      <c r="C31" s="11"/>
      <c r="D31" s="11"/>
      <c r="E31" s="11"/>
      <c r="F31" s="11"/>
      <c r="G31" s="11"/>
      <c r="H31" s="11"/>
      <c r="I31" s="11"/>
      <c r="J31" s="11"/>
      <c r="K31" s="11"/>
      <c r="L31" s="11"/>
      <c r="M31" s="11"/>
      <c r="N31" s="11"/>
    </row>
    <row r="32" spans="1:14" ht="18" x14ac:dyDescent="0.25">
      <c r="A32" s="11"/>
      <c r="B32" s="52" t="s">
        <v>208</v>
      </c>
      <c r="C32" s="53"/>
      <c r="D32" s="53"/>
      <c r="E32" s="53"/>
      <c r="F32" s="53"/>
      <c r="G32" s="53"/>
      <c r="H32" s="53"/>
      <c r="I32" s="53"/>
      <c r="J32" s="53"/>
      <c r="K32" s="53"/>
      <c r="L32" s="53"/>
      <c r="M32" s="54"/>
      <c r="N32" s="11"/>
    </row>
    <row r="33" spans="1:24" x14ac:dyDescent="0.2">
      <c r="A33" s="11"/>
      <c r="B33" s="55"/>
      <c r="C33" s="56"/>
      <c r="D33" s="56"/>
      <c r="E33" s="56"/>
      <c r="F33" s="56"/>
      <c r="G33" s="56"/>
      <c r="H33" s="56"/>
      <c r="I33" s="56"/>
      <c r="J33" s="56"/>
      <c r="K33" s="56"/>
      <c r="L33" s="56"/>
      <c r="M33" s="57"/>
      <c r="N33" s="11"/>
    </row>
    <row r="34" spans="1:24" ht="48.75" customHeight="1" x14ac:dyDescent="0.25">
      <c r="A34" s="11"/>
      <c r="B34" s="58" t="s">
        <v>209</v>
      </c>
      <c r="C34" s="59"/>
      <c r="D34" s="59"/>
      <c r="E34" s="59"/>
      <c r="F34" s="59"/>
      <c r="G34" s="59"/>
      <c r="H34" s="60"/>
      <c r="I34" s="60"/>
      <c r="J34" s="60"/>
      <c r="K34" s="60"/>
      <c r="L34" s="60"/>
      <c r="M34" s="61"/>
      <c r="N34" s="11"/>
    </row>
    <row r="35" spans="1:24" ht="15" x14ac:dyDescent="0.2">
      <c r="B35" s="62"/>
      <c r="C35" s="63"/>
      <c r="D35" s="63"/>
      <c r="E35" s="63"/>
      <c r="F35" s="63"/>
      <c r="G35" s="63"/>
    </row>
    <row r="36" spans="1:24" ht="18" x14ac:dyDescent="0.25">
      <c r="B36" s="20" t="s">
        <v>139</v>
      </c>
      <c r="C36" s="63"/>
      <c r="D36" s="63"/>
      <c r="E36" s="63"/>
      <c r="F36" s="63"/>
      <c r="G36" s="63"/>
      <c r="Q36" s="20" t="s">
        <v>53</v>
      </c>
    </row>
    <row r="38" spans="1:24" ht="18" x14ac:dyDescent="0.25">
      <c r="B38" s="20" t="s">
        <v>140</v>
      </c>
      <c r="S38" s="64" t="e">
        <f>HLOOKUP(C8,'Lookup Table'!B1:Y56,56,0)</f>
        <v>#N/A</v>
      </c>
    </row>
    <row r="40" spans="1:24" ht="15.75" thickBot="1" x14ac:dyDescent="0.3">
      <c r="B40" s="65" t="s">
        <v>8</v>
      </c>
      <c r="Q40" s="65" t="s">
        <v>54</v>
      </c>
      <c r="V40" s="65" t="s">
        <v>55</v>
      </c>
    </row>
    <row r="41" spans="1:24" ht="15" x14ac:dyDescent="0.2">
      <c r="J41" s="12" t="s">
        <v>17</v>
      </c>
      <c r="K41" s="12" t="s">
        <v>18</v>
      </c>
      <c r="L41" s="12" t="s">
        <v>19</v>
      </c>
      <c r="M41" s="12" t="s">
        <v>20</v>
      </c>
      <c r="N41" s="12" t="s">
        <v>21</v>
      </c>
      <c r="Q41" s="66" t="e">
        <f>VLOOKUP(S38,'Lookup Table'!AB2:AD9,2,0)</f>
        <v>#N/A</v>
      </c>
      <c r="R41" s="67"/>
      <c r="S41" s="67"/>
      <c r="T41" s="68"/>
      <c r="V41" s="66" t="e">
        <f>VLOOKUP(S38,'Lookup Table'!AB2:AD9,3,0)</f>
        <v>#N/A</v>
      </c>
      <c r="W41" s="67"/>
      <c r="X41" s="69"/>
    </row>
    <row r="42" spans="1:24" ht="15" x14ac:dyDescent="0.2">
      <c r="F42" s="70" t="s">
        <v>9</v>
      </c>
      <c r="G42" s="71"/>
      <c r="H42" s="71"/>
      <c r="I42" s="71"/>
      <c r="J42" s="72">
        <v>8876.1717902125583</v>
      </c>
      <c r="K42" s="72" t="e">
        <f>HLOOKUP($C$8,'Lookup Table'!$A$1:$Y$86,59,0)</f>
        <v>#N/A</v>
      </c>
      <c r="L42" s="72">
        <v>12744.012040938387</v>
      </c>
      <c r="M42" s="72">
        <v>19189.743745455304</v>
      </c>
      <c r="N42" s="72" t="e">
        <f>HLOOKUP($C$8,'Lookup Table'!$A$1:$Y$86,60,0)</f>
        <v>#N/A</v>
      </c>
      <c r="Q42" s="73"/>
      <c r="R42" s="74"/>
      <c r="S42" s="74"/>
      <c r="T42" s="75"/>
      <c r="V42" s="73"/>
      <c r="W42" s="74"/>
      <c r="X42" s="76"/>
    </row>
    <row r="43" spans="1:24" ht="15" x14ac:dyDescent="0.2">
      <c r="F43" s="70" t="s">
        <v>10</v>
      </c>
      <c r="G43" s="71"/>
      <c r="H43" s="71"/>
      <c r="I43" s="71"/>
      <c r="J43" s="72" t="e">
        <f>HLOOKUP($C$8,'Lookup Table'!$A$1:$Y$86,12,0)</f>
        <v>#N/A</v>
      </c>
      <c r="K43" s="72" t="e">
        <f>HLOOKUP($C$8,'Lookup Table'!$A$1:$Y$86,12,0)</f>
        <v>#N/A</v>
      </c>
      <c r="L43" s="72" t="e">
        <f>HLOOKUP($C$8,'Lookup Table'!$A$1:$Y$86,12,0)</f>
        <v>#N/A</v>
      </c>
      <c r="M43" s="72" t="e">
        <f>HLOOKUP($C$8,'Lookup Table'!$A$1:$Y$86,12,0)</f>
        <v>#N/A</v>
      </c>
      <c r="N43" s="72" t="e">
        <f>HLOOKUP($C$8,'Lookup Table'!$A$1:$Y$86,12,0)</f>
        <v>#N/A</v>
      </c>
      <c r="Q43" s="73"/>
      <c r="R43" s="74"/>
      <c r="S43" s="74"/>
      <c r="T43" s="75"/>
      <c r="V43" s="73"/>
      <c r="W43" s="74"/>
      <c r="X43" s="76"/>
    </row>
    <row r="44" spans="1:24" ht="15" x14ac:dyDescent="0.2">
      <c r="F44" s="70" t="s">
        <v>11</v>
      </c>
      <c r="G44" s="71"/>
      <c r="H44" s="71"/>
      <c r="I44" s="71"/>
      <c r="J44" s="72" t="e">
        <f>HLOOKUP($C$8,'Lookup Table'!$A$1:$Y$86,13,0)</f>
        <v>#N/A</v>
      </c>
      <c r="K44" s="72" t="e">
        <f>HLOOKUP($C$8,'Lookup Table'!$A$1:$Y$86,13,0)</f>
        <v>#N/A</v>
      </c>
      <c r="L44" s="72" t="e">
        <f>HLOOKUP($C$8,'Lookup Table'!$A$1:$Y$86,13,0)</f>
        <v>#N/A</v>
      </c>
      <c r="M44" s="72" t="e">
        <f>HLOOKUP($C$8,'Lookup Table'!$A$1:$Y$86,13,0)</f>
        <v>#N/A</v>
      </c>
      <c r="N44" s="72" t="e">
        <f>HLOOKUP($C$8,'Lookup Table'!$A$1:$Y$86,13,0)</f>
        <v>#N/A</v>
      </c>
      <c r="Q44" s="73"/>
      <c r="R44" s="74"/>
      <c r="S44" s="74"/>
      <c r="T44" s="75"/>
      <c r="V44" s="73"/>
      <c r="W44" s="74"/>
      <c r="X44" s="76"/>
    </row>
    <row r="45" spans="1:24" ht="15" x14ac:dyDescent="0.2">
      <c r="F45" s="70" t="s">
        <v>31</v>
      </c>
      <c r="G45" s="71"/>
      <c r="H45" s="71"/>
      <c r="I45" s="71"/>
      <c r="J45" s="72">
        <v>105.99999999999999</v>
      </c>
      <c r="K45" s="72">
        <v>105.99999999999999</v>
      </c>
      <c r="L45" s="72">
        <v>105.99999999999999</v>
      </c>
      <c r="M45" s="72">
        <v>105.99999999999999</v>
      </c>
      <c r="N45" s="72">
        <v>105.99999999999999</v>
      </c>
      <c r="Q45" s="73"/>
      <c r="R45" s="74"/>
      <c r="S45" s="74"/>
      <c r="T45" s="75"/>
      <c r="V45" s="73"/>
      <c r="W45" s="74"/>
      <c r="X45" s="76"/>
    </row>
    <row r="46" spans="1:24" ht="15" x14ac:dyDescent="0.2">
      <c r="F46" s="70" t="s">
        <v>12</v>
      </c>
      <c r="G46" s="71"/>
      <c r="H46" s="71"/>
      <c r="I46" s="71"/>
      <c r="J46" s="72">
        <v>11.000000000000002</v>
      </c>
      <c r="K46" s="72">
        <v>11.000000000000002</v>
      </c>
      <c r="L46" s="72">
        <v>11.000000000000002</v>
      </c>
      <c r="M46" s="72">
        <v>11.000000000000002</v>
      </c>
      <c r="N46" s="72">
        <v>11.000000000000002</v>
      </c>
      <c r="Q46" s="73"/>
      <c r="R46" s="74"/>
      <c r="S46" s="74"/>
      <c r="T46" s="75"/>
      <c r="V46" s="73"/>
      <c r="W46" s="74"/>
      <c r="X46" s="76"/>
    </row>
    <row r="47" spans="1:24" ht="15" x14ac:dyDescent="0.2">
      <c r="F47" s="70" t="s">
        <v>13</v>
      </c>
      <c r="G47" s="71"/>
      <c r="H47" s="71"/>
      <c r="I47" s="71"/>
      <c r="J47" s="72">
        <v>91.280909724829698</v>
      </c>
      <c r="K47" s="72">
        <v>91.280909724829698</v>
      </c>
      <c r="L47" s="72">
        <v>91.280909724829698</v>
      </c>
      <c r="M47" s="72">
        <v>91.280909724829698</v>
      </c>
      <c r="N47" s="72">
        <v>91.280909724829698</v>
      </c>
      <c r="Q47" s="73"/>
      <c r="R47" s="74"/>
      <c r="S47" s="74"/>
      <c r="T47" s="75"/>
      <c r="V47" s="73"/>
      <c r="W47" s="74"/>
      <c r="X47" s="76"/>
    </row>
    <row r="48" spans="1:24" ht="15" x14ac:dyDescent="0.2">
      <c r="F48" s="70" t="s">
        <v>14</v>
      </c>
      <c r="G48" s="71"/>
      <c r="H48" s="71"/>
      <c r="I48" s="71"/>
      <c r="J48" s="72">
        <v>42.062510871868518</v>
      </c>
      <c r="K48" s="72">
        <v>42.062510871868518</v>
      </c>
      <c r="L48" s="72">
        <v>42.062510871868518</v>
      </c>
      <c r="M48" s="72">
        <v>42.062510871868518</v>
      </c>
      <c r="N48" s="72">
        <v>42.062510871868518</v>
      </c>
      <c r="Q48" s="73"/>
      <c r="R48" s="74"/>
      <c r="S48" s="74"/>
      <c r="T48" s="75"/>
      <c r="V48" s="73"/>
      <c r="W48" s="74"/>
      <c r="X48" s="76"/>
    </row>
    <row r="49" spans="2:26" ht="15" x14ac:dyDescent="0.2">
      <c r="F49" s="70" t="s">
        <v>22</v>
      </c>
      <c r="G49" s="71"/>
      <c r="H49" s="71"/>
      <c r="I49" s="71"/>
      <c r="J49" s="72">
        <v>1.4926024481106972</v>
      </c>
      <c r="K49" s="72">
        <v>1.4926024481106972</v>
      </c>
      <c r="L49" s="72">
        <v>1.4926024481106972</v>
      </c>
      <c r="M49" s="72">
        <v>1.4926024481106972</v>
      </c>
      <c r="N49" s="72">
        <v>1.4926024481106972</v>
      </c>
      <c r="Q49" s="73"/>
      <c r="R49" s="74"/>
      <c r="S49" s="74"/>
      <c r="T49" s="75"/>
      <c r="V49" s="73"/>
      <c r="W49" s="74"/>
      <c r="X49" s="76"/>
    </row>
    <row r="50" spans="2:26" ht="15" x14ac:dyDescent="0.2">
      <c r="F50" s="70" t="s">
        <v>15</v>
      </c>
      <c r="G50" s="71"/>
      <c r="H50" s="71"/>
      <c r="I50" s="71"/>
      <c r="J50" s="72" t="e">
        <f>HLOOKUP($C$8,'Lookup Table'!$A$1:$Y$86,14,0)</f>
        <v>#N/A</v>
      </c>
      <c r="K50" s="72" t="e">
        <f>HLOOKUP($C$8,'Lookup Table'!$A$1:$Y$86,14,0)</f>
        <v>#N/A</v>
      </c>
      <c r="L50" s="72" t="e">
        <f>HLOOKUP($C$8,'Lookup Table'!$A$1:$Y$86,14,0)</f>
        <v>#N/A</v>
      </c>
      <c r="M50" s="72" t="e">
        <f>HLOOKUP($C$8,'Lookup Table'!$A$1:$Y$86,14,0)</f>
        <v>#N/A</v>
      </c>
      <c r="N50" s="72" t="e">
        <f>HLOOKUP($C$8,'Lookup Table'!$A$1:$Y$86,14,0)</f>
        <v>#N/A</v>
      </c>
      <c r="Q50" s="73"/>
      <c r="R50" s="74"/>
      <c r="S50" s="74"/>
      <c r="T50" s="75"/>
      <c r="V50" s="73"/>
      <c r="W50" s="74"/>
      <c r="X50" s="76"/>
    </row>
    <row r="51" spans="2:26" ht="15.75" thickBot="1" x14ac:dyDescent="0.25">
      <c r="F51" s="70" t="s">
        <v>16</v>
      </c>
      <c r="G51" s="71"/>
      <c r="H51" s="71"/>
      <c r="I51" s="71"/>
      <c r="J51" s="72" t="e">
        <f>HLOOKUP($C$8,'Lookup Table'!$A$1:$Y$86,15,0)</f>
        <v>#N/A</v>
      </c>
      <c r="K51" s="72" t="e">
        <f>HLOOKUP($C$8,'Lookup Table'!$A$1:$Y$86,15,0)</f>
        <v>#N/A</v>
      </c>
      <c r="L51" s="72" t="e">
        <f>HLOOKUP($C$8,'Lookup Table'!$A$1:$Y$86,15,0)</f>
        <v>#N/A</v>
      </c>
      <c r="M51" s="72" t="e">
        <f>HLOOKUP($C$8,'Lookup Table'!$A$1:$Y$86,15,0)</f>
        <v>#N/A</v>
      </c>
      <c r="N51" s="72" t="e">
        <f>HLOOKUP($C$8,'Lookup Table'!$A$1:$Y$86,15,0)</f>
        <v>#N/A</v>
      </c>
      <c r="Q51" s="77"/>
      <c r="R51" s="78"/>
      <c r="S51" s="78"/>
      <c r="T51" s="79"/>
      <c r="V51" s="77"/>
      <c r="W51" s="78"/>
      <c r="X51" s="80"/>
    </row>
    <row r="52" spans="2:26" ht="15" x14ac:dyDescent="0.25">
      <c r="F52" s="70" t="s">
        <v>116</v>
      </c>
      <c r="G52" s="71"/>
      <c r="H52" s="71"/>
      <c r="I52" s="71"/>
      <c r="J52" s="72" t="e">
        <f>IF($U78&gt;0,0.0174114727366503*J42,0)</f>
        <v>#N/A</v>
      </c>
      <c r="K52" s="72" t="e">
        <f>IF($U78&gt;0,0.0186025655345146*K42,0)</f>
        <v>#N/A</v>
      </c>
      <c r="L52" s="72" t="e">
        <f>IF($U78&gt;0,0.0180246285124395*L42,0)</f>
        <v>#N/A</v>
      </c>
      <c r="M52" s="72" t="e">
        <f>IF($U78&gt;0,0.0184931692203593*M42,0)</f>
        <v>#N/A</v>
      </c>
      <c r="N52" s="72" t="e">
        <f>IF($U78&gt;0,0.0186025655345146*N42,0)</f>
        <v>#N/A</v>
      </c>
      <c r="Q52" s="81"/>
      <c r="R52" s="81"/>
      <c r="S52" s="81"/>
      <c r="T52" s="81"/>
      <c r="V52" s="81"/>
      <c r="W52" s="81"/>
      <c r="X52" s="82"/>
    </row>
    <row r="53" spans="2:26" ht="15" x14ac:dyDescent="0.25">
      <c r="F53" s="70" t="s">
        <v>117</v>
      </c>
      <c r="G53" s="71"/>
      <c r="H53" s="71"/>
      <c r="I53" s="71"/>
      <c r="J53" s="72" t="e">
        <f>IF($U$79&gt;0,0.0198836550802172*J43,0)</f>
        <v>#N/A</v>
      </c>
      <c r="K53" s="72" t="e">
        <f t="shared" ref="K53:N53" si="2">IF($U$79&gt;0,0.0198836550802172*K43,0)</f>
        <v>#N/A</v>
      </c>
      <c r="L53" s="72" t="e">
        <f t="shared" si="2"/>
        <v>#N/A</v>
      </c>
      <c r="M53" s="72" t="e">
        <f t="shared" si="2"/>
        <v>#N/A</v>
      </c>
      <c r="N53" s="72" t="e">
        <f t="shared" si="2"/>
        <v>#N/A</v>
      </c>
      <c r="Q53" s="81"/>
      <c r="R53" s="81"/>
      <c r="S53" s="81"/>
      <c r="T53" s="81"/>
      <c r="V53" s="81"/>
      <c r="W53" s="81"/>
      <c r="X53" s="82"/>
    </row>
    <row r="54" spans="2:26" ht="15" x14ac:dyDescent="0.25">
      <c r="F54" s="70" t="s">
        <v>118</v>
      </c>
      <c r="G54" s="71"/>
      <c r="H54" s="71"/>
      <c r="I54" s="71"/>
      <c r="J54" s="72" t="e">
        <f>IF($U$79&gt;0,0.0198224953157972*J44,0)</f>
        <v>#N/A</v>
      </c>
      <c r="K54" s="72" t="e">
        <f t="shared" ref="K54:N54" si="3">IF($U$79&gt;0,0.0198224953157972*K44,0)</f>
        <v>#N/A</v>
      </c>
      <c r="L54" s="72" t="e">
        <f t="shared" si="3"/>
        <v>#N/A</v>
      </c>
      <c r="M54" s="72" t="e">
        <f t="shared" si="3"/>
        <v>#N/A</v>
      </c>
      <c r="N54" s="72" t="e">
        <f t="shared" si="3"/>
        <v>#N/A</v>
      </c>
      <c r="Q54" s="81"/>
      <c r="R54" s="81"/>
      <c r="S54" s="81"/>
      <c r="T54" s="81"/>
      <c r="V54" s="81"/>
      <c r="W54" s="81"/>
      <c r="X54" s="82"/>
    </row>
    <row r="56" spans="2:26" ht="15" x14ac:dyDescent="0.25">
      <c r="B56" s="83" t="s">
        <v>23</v>
      </c>
      <c r="C56" s="84"/>
      <c r="D56" s="84"/>
      <c r="E56" s="84"/>
      <c r="F56" s="84"/>
      <c r="G56" s="84"/>
      <c r="H56" s="84"/>
      <c r="I56" s="84"/>
      <c r="J56" s="85" t="e">
        <f>SUM(J42,J45,J46,J47,J48,J49,J52)</f>
        <v>#N/A</v>
      </c>
      <c r="K56" s="85" t="e">
        <f>SUM(K42,K45,K46,K47,K48,K49,K52)</f>
        <v>#N/A</v>
      </c>
      <c r="L56" s="85" t="e">
        <f>SUM(L42,L45,L46,L47,L48,L49,L52)</f>
        <v>#N/A</v>
      </c>
      <c r="M56" s="85" t="e">
        <f>SUM(M42,M45,M46,M47,M48,M49,M52)</f>
        <v>#N/A</v>
      </c>
      <c r="N56" s="85" t="e">
        <f>SUM(N42,N45,N46,N47,N48,N49,N52)</f>
        <v>#N/A</v>
      </c>
    </row>
    <row r="57" spans="2:26" x14ac:dyDescent="0.2">
      <c r="J57" s="86"/>
      <c r="K57" s="86"/>
      <c r="L57" s="86"/>
      <c r="M57" s="86"/>
      <c r="N57" s="86"/>
    </row>
    <row r="58" spans="2:26" ht="15" x14ac:dyDescent="0.25">
      <c r="B58" s="83" t="s">
        <v>24</v>
      </c>
      <c r="C58" s="84"/>
      <c r="D58" s="84"/>
      <c r="E58" s="84"/>
      <c r="F58" s="84"/>
      <c r="G58" s="84"/>
      <c r="H58" s="84"/>
      <c r="I58" s="84"/>
      <c r="J58" s="85" t="e">
        <f>IF($J77=0,0,SUM(J42,J43,J45,J46,J47,J48,J49,J50,J53,J52))</f>
        <v>#N/A</v>
      </c>
      <c r="K58" s="85" t="e">
        <f t="shared" ref="K58:N58" si="4">IF($J77=0,0,SUM(K42,K43,K45,K46,K47,K48,K49,K50,K53,K52))</f>
        <v>#N/A</v>
      </c>
      <c r="L58" s="85" t="e">
        <f t="shared" si="4"/>
        <v>#N/A</v>
      </c>
      <c r="M58" s="85" t="e">
        <f t="shared" si="4"/>
        <v>#N/A</v>
      </c>
      <c r="N58" s="85" t="e">
        <f t="shared" si="4"/>
        <v>#N/A</v>
      </c>
    </row>
    <row r="59" spans="2:26" x14ac:dyDescent="0.2">
      <c r="J59" s="86"/>
      <c r="K59" s="86"/>
      <c r="L59" s="86"/>
      <c r="M59" s="86"/>
      <c r="N59" s="86"/>
    </row>
    <row r="60" spans="2:26" ht="15" x14ac:dyDescent="0.25">
      <c r="B60" s="83" t="s">
        <v>25</v>
      </c>
      <c r="C60" s="84"/>
      <c r="D60" s="84"/>
      <c r="E60" s="84"/>
      <c r="F60" s="84"/>
      <c r="G60" s="84"/>
      <c r="H60" s="84"/>
      <c r="I60" s="84"/>
      <c r="J60" s="85" t="e">
        <f>IF($F$26=0,0,SUM(J42,J44,J45,J46,J47,J48,J49,J51,J54,J43,J52,J53))</f>
        <v>#N/A</v>
      </c>
      <c r="K60" s="85" t="e">
        <f>IF($F$26=0,0,SUM(K42,K44,K45,K46,K47,K48,K49,K51,K54,K43,K52,K53))</f>
        <v>#N/A</v>
      </c>
      <c r="L60" s="85" t="e">
        <f>IF($F$26=0,0,SUM(L42,L44,L45,L46,L47,L48,L49,L51,L54,L43,L52,L53))</f>
        <v>#N/A</v>
      </c>
      <c r="M60" s="85" t="e">
        <f>IF($F$26=0,0,SUM(M42,M44,M45,M46,M47,M48,M49,M51,M54,M43,M52,M53))</f>
        <v>#N/A</v>
      </c>
      <c r="N60" s="85" t="e">
        <f>IF($F$26=0,0,SUM(N42,N44,N45,N46,N47,N48,N49,N51,N54,N43,N52,N53))</f>
        <v>#N/A</v>
      </c>
    </row>
    <row r="61" spans="2:26" x14ac:dyDescent="0.2">
      <c r="J61" s="86"/>
      <c r="K61" s="86"/>
      <c r="L61" s="86"/>
      <c r="M61" s="86"/>
      <c r="N61" s="86"/>
    </row>
    <row r="62" spans="2:26" ht="15" x14ac:dyDescent="0.25">
      <c r="B62" s="65" t="s">
        <v>40</v>
      </c>
      <c r="J62" s="87"/>
      <c r="K62" s="87"/>
      <c r="L62" s="87"/>
      <c r="M62" s="87"/>
      <c r="N62" s="87"/>
      <c r="Q62" s="65" t="s">
        <v>44</v>
      </c>
    </row>
    <row r="64" spans="2:26" ht="15" x14ac:dyDescent="0.2">
      <c r="J64" s="88" t="s">
        <v>50</v>
      </c>
      <c r="K64" s="89"/>
      <c r="L64" s="89"/>
      <c r="M64" s="89"/>
      <c r="N64" s="90"/>
      <c r="U64" s="12" t="s">
        <v>45</v>
      </c>
      <c r="V64" s="12" t="s">
        <v>46</v>
      </c>
      <c r="W64" s="12" t="s">
        <v>47</v>
      </c>
      <c r="X64" s="12" t="s">
        <v>48</v>
      </c>
      <c r="Y64" s="12" t="s">
        <v>49</v>
      </c>
      <c r="Z64" s="91" t="s">
        <v>191</v>
      </c>
    </row>
    <row r="65" spans="6:26" ht="15" x14ac:dyDescent="0.2">
      <c r="F65" s="70" t="s">
        <v>32</v>
      </c>
      <c r="G65" s="71"/>
      <c r="H65" s="71"/>
      <c r="I65" s="71"/>
      <c r="J65" s="92" t="e">
        <f>Y65</f>
        <v>#N/A</v>
      </c>
      <c r="K65" s="93"/>
      <c r="L65" s="93"/>
      <c r="M65" s="93"/>
      <c r="N65" s="94"/>
      <c r="Q65" s="70" t="s">
        <v>32</v>
      </c>
      <c r="R65" s="71"/>
      <c r="S65" s="71"/>
      <c r="T65" s="71"/>
      <c r="U65" s="95">
        <v>1</v>
      </c>
      <c r="V65" s="72">
        <v>346331</v>
      </c>
      <c r="W65" s="72">
        <f>U65*V65</f>
        <v>346331</v>
      </c>
      <c r="X65" s="95" t="e">
        <f t="shared" ref="X65:X74" si="5">SUM($C$26:$D$26)</f>
        <v>#N/A</v>
      </c>
      <c r="Y65" s="72" t="e">
        <f>W65/X65</f>
        <v>#N/A</v>
      </c>
      <c r="Z65" s="96" t="e">
        <f>HLOOKUP($C$8,'Lookup Table'!$A$1:$Y$86,27,0)</f>
        <v>#N/A</v>
      </c>
    </row>
    <row r="66" spans="6:26" ht="15" x14ac:dyDescent="0.2">
      <c r="F66" s="70" t="s">
        <v>33</v>
      </c>
      <c r="G66" s="71"/>
      <c r="H66" s="71"/>
      <c r="I66" s="71"/>
      <c r="J66" s="92" t="e">
        <f t="shared" ref="J66:J79" si="6">Y66</f>
        <v>#N/A</v>
      </c>
      <c r="K66" s="93"/>
      <c r="L66" s="93"/>
      <c r="M66" s="93"/>
      <c r="N66" s="94"/>
      <c r="Q66" s="70" t="s">
        <v>33</v>
      </c>
      <c r="R66" s="71"/>
      <c r="S66" s="71"/>
      <c r="T66" s="71"/>
      <c r="U66" s="95">
        <v>1</v>
      </c>
      <c r="V66" s="72">
        <v>2000</v>
      </c>
      <c r="W66" s="72">
        <f t="shared" ref="W66:W79" si="7">U66*V66</f>
        <v>2000</v>
      </c>
      <c r="X66" s="95" t="e">
        <f t="shared" si="5"/>
        <v>#N/A</v>
      </c>
      <c r="Y66" s="72" t="e">
        <f t="shared" ref="Y66:Y74" si="8">W66/X66</f>
        <v>#N/A</v>
      </c>
      <c r="Z66" s="96" t="e">
        <f>HLOOKUP($C$8,'Lookup Table'!$A$1:$Y$86,28,0)</f>
        <v>#N/A</v>
      </c>
    </row>
    <row r="67" spans="6:26" ht="15" x14ac:dyDescent="0.2">
      <c r="F67" s="70" t="s">
        <v>34</v>
      </c>
      <c r="G67" s="71"/>
      <c r="H67" s="71"/>
      <c r="I67" s="71"/>
      <c r="J67" s="92" t="e">
        <f t="shared" si="6"/>
        <v>#N/A</v>
      </c>
      <c r="K67" s="93"/>
      <c r="L67" s="93"/>
      <c r="M67" s="93"/>
      <c r="N67" s="94"/>
      <c r="Q67" s="70" t="s">
        <v>34</v>
      </c>
      <c r="R67" s="71"/>
      <c r="S67" s="71"/>
      <c r="T67" s="71"/>
      <c r="U67" s="95">
        <v>1</v>
      </c>
      <c r="V67" s="72">
        <v>11817.708333333334</v>
      </c>
      <c r="W67" s="72">
        <f t="shared" si="7"/>
        <v>11817.708333333334</v>
      </c>
      <c r="X67" s="95" t="e">
        <f t="shared" si="5"/>
        <v>#N/A</v>
      </c>
      <c r="Y67" s="72" t="e">
        <f t="shared" si="8"/>
        <v>#N/A</v>
      </c>
      <c r="Z67" s="96" t="e">
        <f>HLOOKUP($C$8,'Lookup Table'!$A$1:$Y$86,29,0)</f>
        <v>#N/A</v>
      </c>
    </row>
    <row r="68" spans="6:26" ht="15" x14ac:dyDescent="0.2">
      <c r="F68" s="70" t="s">
        <v>26</v>
      </c>
      <c r="G68" s="71"/>
      <c r="H68" s="71"/>
      <c r="I68" s="71"/>
      <c r="J68" s="92" t="e">
        <f t="shared" si="6"/>
        <v>#N/A</v>
      </c>
      <c r="K68" s="93"/>
      <c r="L68" s="93"/>
      <c r="M68" s="93"/>
      <c r="N68" s="94"/>
      <c r="Q68" s="70" t="s">
        <v>26</v>
      </c>
      <c r="R68" s="71"/>
      <c r="S68" s="71"/>
      <c r="T68" s="71"/>
      <c r="U68" s="95" t="e">
        <f>HLOOKUP($C$8,'Lookup Table'!$A$1:$Y$86,16,0)</f>
        <v>#N/A</v>
      </c>
      <c r="V68" s="72">
        <v>415</v>
      </c>
      <c r="W68" s="72" t="e">
        <f t="shared" si="7"/>
        <v>#N/A</v>
      </c>
      <c r="X68" s="95" t="e">
        <f t="shared" si="5"/>
        <v>#N/A</v>
      </c>
      <c r="Y68" s="72" t="e">
        <f t="shared" si="8"/>
        <v>#N/A</v>
      </c>
      <c r="Z68" s="96" t="e">
        <f>HLOOKUP($C$8,'Lookup Table'!$A$1:$Y$86,30,0)</f>
        <v>#N/A</v>
      </c>
    </row>
    <row r="69" spans="6:26" ht="15" x14ac:dyDescent="0.2">
      <c r="F69" s="70" t="s">
        <v>27</v>
      </c>
      <c r="G69" s="71"/>
      <c r="H69" s="71"/>
      <c r="I69" s="71"/>
      <c r="J69" s="92" t="e">
        <f t="shared" si="6"/>
        <v>#N/A</v>
      </c>
      <c r="K69" s="93"/>
      <c r="L69" s="93"/>
      <c r="M69" s="93"/>
      <c r="N69" s="94"/>
      <c r="Q69" s="70" t="s">
        <v>27</v>
      </c>
      <c r="R69" s="71"/>
      <c r="S69" s="71"/>
      <c r="T69" s="71"/>
      <c r="U69" s="95" t="e">
        <f>HLOOKUP($C$8,'Lookup Table'!$A$1:$Y$86,17,0)</f>
        <v>#N/A</v>
      </c>
      <c r="V69" s="72">
        <v>30</v>
      </c>
      <c r="W69" s="72" t="e">
        <f t="shared" si="7"/>
        <v>#N/A</v>
      </c>
      <c r="X69" s="95" t="e">
        <f t="shared" si="5"/>
        <v>#N/A</v>
      </c>
      <c r="Y69" s="72" t="e">
        <f t="shared" si="8"/>
        <v>#N/A</v>
      </c>
      <c r="Z69" s="96" t="e">
        <f>HLOOKUP($C$8,'Lookup Table'!$A$1:$Y$86,31,0)</f>
        <v>#N/A</v>
      </c>
    </row>
    <row r="70" spans="6:26" ht="15" x14ac:dyDescent="0.2">
      <c r="F70" s="70" t="s">
        <v>35</v>
      </c>
      <c r="G70" s="71"/>
      <c r="H70" s="71"/>
      <c r="I70" s="71"/>
      <c r="J70" s="92" t="e">
        <f t="shared" si="6"/>
        <v>#N/A</v>
      </c>
      <c r="K70" s="93"/>
      <c r="L70" s="93"/>
      <c r="M70" s="93"/>
      <c r="N70" s="94"/>
      <c r="Q70" s="70" t="s">
        <v>35</v>
      </c>
      <c r="R70" s="71"/>
      <c r="S70" s="71"/>
      <c r="T70" s="71"/>
      <c r="U70" s="95" t="e">
        <f>HLOOKUP($C$8,'Lookup Table'!$A$1:$Y$86,18,0)</f>
        <v>#N/A</v>
      </c>
      <c r="V70" s="72">
        <v>1051.9999999999998</v>
      </c>
      <c r="W70" s="72" t="e">
        <f t="shared" si="7"/>
        <v>#N/A</v>
      </c>
      <c r="X70" s="95" t="e">
        <f t="shared" si="5"/>
        <v>#N/A</v>
      </c>
      <c r="Y70" s="72" t="e">
        <f t="shared" si="8"/>
        <v>#N/A</v>
      </c>
      <c r="Z70" s="96" t="e">
        <f>HLOOKUP($C$8,'Lookup Table'!$A$1:$Y$86,32,0)</f>
        <v>#N/A</v>
      </c>
    </row>
    <row r="71" spans="6:26" ht="15" x14ac:dyDescent="0.2">
      <c r="F71" s="70" t="s">
        <v>28</v>
      </c>
      <c r="G71" s="71"/>
      <c r="H71" s="71"/>
      <c r="I71" s="71"/>
      <c r="J71" s="92" t="e">
        <f t="shared" si="6"/>
        <v>#N/A</v>
      </c>
      <c r="K71" s="93"/>
      <c r="L71" s="93"/>
      <c r="M71" s="93"/>
      <c r="N71" s="94"/>
      <c r="Q71" s="70" t="s">
        <v>28</v>
      </c>
      <c r="R71" s="71"/>
      <c r="S71" s="71"/>
      <c r="T71" s="71"/>
      <c r="U71" s="95" t="e">
        <f>HLOOKUP($C$8,'Lookup Table'!$A$1:$Y$86,19,0)</f>
        <v>#N/A</v>
      </c>
      <c r="V71" s="72" t="e">
        <f>HLOOKUP($C$8,'Lookup Table'!$A$1:$Y$86,20,0)</f>
        <v>#N/A</v>
      </c>
      <c r="W71" s="72" t="e">
        <f t="shared" si="7"/>
        <v>#N/A</v>
      </c>
      <c r="X71" s="95" t="e">
        <f t="shared" si="5"/>
        <v>#N/A</v>
      </c>
      <c r="Y71" s="72" t="e">
        <f t="shared" si="8"/>
        <v>#N/A</v>
      </c>
      <c r="Z71" s="96" t="e">
        <f>HLOOKUP($C$8,'Lookup Table'!$A$1:$Y$86,33,0)</f>
        <v>#N/A</v>
      </c>
    </row>
    <row r="72" spans="6:26" ht="15" x14ac:dyDescent="0.2">
      <c r="F72" s="70" t="s">
        <v>29</v>
      </c>
      <c r="G72" s="71"/>
      <c r="H72" s="71"/>
      <c r="I72" s="71"/>
      <c r="J72" s="92" t="e">
        <f t="shared" si="6"/>
        <v>#N/A</v>
      </c>
      <c r="K72" s="93"/>
      <c r="L72" s="93"/>
      <c r="M72" s="93"/>
      <c r="N72" s="94"/>
      <c r="Q72" s="70" t="s">
        <v>29</v>
      </c>
      <c r="R72" s="71"/>
      <c r="S72" s="71"/>
      <c r="T72" s="71"/>
      <c r="U72" s="95" t="e">
        <f>HLOOKUP($C$8,'Lookup Table'!$A$1:$Y$86,21,0)</f>
        <v>#N/A</v>
      </c>
      <c r="V72" s="72">
        <v>5000</v>
      </c>
      <c r="W72" s="72" t="e">
        <f t="shared" si="7"/>
        <v>#N/A</v>
      </c>
      <c r="X72" s="95" t="e">
        <f t="shared" si="5"/>
        <v>#N/A</v>
      </c>
      <c r="Y72" s="72" t="e">
        <f t="shared" si="8"/>
        <v>#N/A</v>
      </c>
      <c r="Z72" s="96" t="e">
        <f>HLOOKUP($C$8,'Lookup Table'!$A$1:$Y$86,34,0)</f>
        <v>#N/A</v>
      </c>
    </row>
    <row r="73" spans="6:26" ht="15" x14ac:dyDescent="0.2">
      <c r="F73" s="70" t="s">
        <v>36</v>
      </c>
      <c r="G73" s="71"/>
      <c r="H73" s="71"/>
      <c r="I73" s="71"/>
      <c r="J73" s="92" t="e">
        <f t="shared" si="6"/>
        <v>#N/A</v>
      </c>
      <c r="K73" s="93"/>
      <c r="L73" s="93"/>
      <c r="M73" s="93"/>
      <c r="N73" s="94"/>
      <c r="Q73" s="70" t="s">
        <v>36</v>
      </c>
      <c r="R73" s="71"/>
      <c r="S73" s="71"/>
      <c r="T73" s="71"/>
      <c r="U73" s="95" t="e">
        <f>HLOOKUP($C$8,'Lookup Table'!$A$1:$Y$86,22,0)</f>
        <v>#N/A</v>
      </c>
      <c r="V73" s="72">
        <v>4378</v>
      </c>
      <c r="W73" s="72" t="e">
        <f t="shared" si="7"/>
        <v>#N/A</v>
      </c>
      <c r="X73" s="95" t="e">
        <f t="shared" si="5"/>
        <v>#N/A</v>
      </c>
      <c r="Y73" s="72" t="e">
        <f t="shared" si="8"/>
        <v>#N/A</v>
      </c>
      <c r="Z73" s="96" t="e">
        <f>HLOOKUP($C$8,'Lookup Table'!$A$1:$Y$86,35,0)</f>
        <v>#N/A</v>
      </c>
    </row>
    <row r="74" spans="6:26" ht="15" x14ac:dyDescent="0.2">
      <c r="F74" s="70" t="s">
        <v>30</v>
      </c>
      <c r="G74" s="71"/>
      <c r="H74" s="71"/>
      <c r="I74" s="71"/>
      <c r="J74" s="92" t="e">
        <f t="shared" si="6"/>
        <v>#N/A</v>
      </c>
      <c r="K74" s="93"/>
      <c r="L74" s="93"/>
      <c r="M74" s="93"/>
      <c r="N74" s="94"/>
      <c r="Q74" s="70" t="s">
        <v>30</v>
      </c>
      <c r="R74" s="71"/>
      <c r="S74" s="71"/>
      <c r="T74" s="71"/>
      <c r="U74" s="95" t="e">
        <f>HLOOKUP($C$8,'Lookup Table'!$A$1:$Y$86,23,0)</f>
        <v>#N/A</v>
      </c>
      <c r="V74" s="72">
        <v>38427</v>
      </c>
      <c r="W74" s="72" t="e">
        <f t="shared" si="7"/>
        <v>#N/A</v>
      </c>
      <c r="X74" s="95" t="e">
        <f t="shared" si="5"/>
        <v>#N/A</v>
      </c>
      <c r="Y74" s="72" t="e">
        <f t="shared" si="8"/>
        <v>#N/A</v>
      </c>
      <c r="Z74" s="96" t="e">
        <f>HLOOKUP($C$8,'Lookup Table'!$A$1:$Y$86,36,0)</f>
        <v>#N/A</v>
      </c>
    </row>
    <row r="75" spans="6:26" ht="15" x14ac:dyDescent="0.2">
      <c r="F75" s="70" t="s">
        <v>37</v>
      </c>
      <c r="G75" s="71"/>
      <c r="H75" s="71"/>
      <c r="I75" s="71"/>
      <c r="J75" s="92" t="e">
        <f t="shared" si="6"/>
        <v>#N/A</v>
      </c>
      <c r="K75" s="93"/>
      <c r="L75" s="93"/>
      <c r="M75" s="93"/>
      <c r="N75" s="94"/>
      <c r="Q75" s="70" t="s">
        <v>37</v>
      </c>
      <c r="R75" s="71"/>
      <c r="S75" s="71"/>
      <c r="T75" s="71"/>
      <c r="U75" s="95" t="e">
        <f>HLOOKUP($C$8,'Lookup Table'!$A$1:$Y$86,24,0)</f>
        <v>#N/A</v>
      </c>
      <c r="V75" s="72">
        <v>50</v>
      </c>
      <c r="W75" s="72" t="e">
        <f t="shared" si="7"/>
        <v>#N/A</v>
      </c>
      <c r="X75" s="95" t="e">
        <f>SUM($E$26:$F$26)</f>
        <v>#N/A</v>
      </c>
      <c r="Y75" s="72" t="e">
        <f>IF(X75=0,0,W75/X75)</f>
        <v>#N/A</v>
      </c>
      <c r="Z75" s="96" t="e">
        <f>HLOOKUP($C$8,'Lookup Table'!$A$1:$Y$86,37,0)</f>
        <v>#N/A</v>
      </c>
    </row>
    <row r="76" spans="6:26" ht="15" x14ac:dyDescent="0.2">
      <c r="F76" s="70" t="s">
        <v>38</v>
      </c>
      <c r="G76" s="71"/>
      <c r="H76" s="71"/>
      <c r="I76" s="71"/>
      <c r="J76" s="92" t="e">
        <f t="shared" si="6"/>
        <v>#N/A</v>
      </c>
      <c r="K76" s="93"/>
      <c r="L76" s="93"/>
      <c r="M76" s="93"/>
      <c r="N76" s="94"/>
      <c r="Q76" s="70" t="s">
        <v>38</v>
      </c>
      <c r="R76" s="71"/>
      <c r="S76" s="71"/>
      <c r="T76" s="71"/>
      <c r="U76" s="95" t="e">
        <f>HLOOKUP($C$8,'Lookup Table'!$A$1:$Y$86,25,0)</f>
        <v>#N/A</v>
      </c>
      <c r="V76" s="72">
        <v>65</v>
      </c>
      <c r="W76" s="72" t="e">
        <f t="shared" si="7"/>
        <v>#N/A</v>
      </c>
      <c r="X76" s="95" t="e">
        <f>SUM($E$26:$F$26)</f>
        <v>#N/A</v>
      </c>
      <c r="Y76" s="72" t="e">
        <f t="shared" ref="Y76:Y79" si="9">IF(X76=0,0,W76/X76)</f>
        <v>#N/A</v>
      </c>
      <c r="Z76" s="96" t="e">
        <f>HLOOKUP($C$8,'Lookup Table'!$A$1:$Y$86,38,0)</f>
        <v>#N/A</v>
      </c>
    </row>
    <row r="77" spans="6:26" ht="15" x14ac:dyDescent="0.2">
      <c r="F77" s="70" t="s">
        <v>39</v>
      </c>
      <c r="G77" s="71"/>
      <c r="H77" s="71"/>
      <c r="I77" s="71"/>
      <c r="J77" s="92" t="e">
        <f t="shared" si="6"/>
        <v>#N/A</v>
      </c>
      <c r="K77" s="93"/>
      <c r="L77" s="93"/>
      <c r="M77" s="93"/>
      <c r="N77" s="94"/>
      <c r="Q77" s="70" t="s">
        <v>39</v>
      </c>
      <c r="R77" s="71"/>
      <c r="S77" s="71"/>
      <c r="T77" s="71"/>
      <c r="U77" s="95" t="e">
        <f>HLOOKUP($C$8,'Lookup Table'!$A$1:$Y$86,26,0)</f>
        <v>#N/A</v>
      </c>
      <c r="V77" s="72">
        <v>163425</v>
      </c>
      <c r="W77" s="72" t="e">
        <f t="shared" si="7"/>
        <v>#N/A</v>
      </c>
      <c r="X77" s="95" t="e">
        <f>SUM($E$26:$F$26)</f>
        <v>#N/A</v>
      </c>
      <c r="Y77" s="72" t="e">
        <f t="shared" si="9"/>
        <v>#N/A</v>
      </c>
      <c r="Z77" s="96" t="e">
        <f>HLOOKUP($C$8,'Lookup Table'!$A$1:$Y$86,39,0)</f>
        <v>#N/A</v>
      </c>
    </row>
    <row r="78" spans="6:26" s="86" customFormat="1" ht="15" x14ac:dyDescent="0.2">
      <c r="F78" s="97" t="s">
        <v>133</v>
      </c>
      <c r="G78" s="98"/>
      <c r="H78" s="98"/>
      <c r="I78" s="98"/>
      <c r="J78" s="92" t="e">
        <f t="shared" ref="J78" si="10">Y78</f>
        <v>#N/A</v>
      </c>
      <c r="K78" s="93"/>
      <c r="L78" s="93"/>
      <c r="M78" s="93"/>
      <c r="N78" s="94"/>
      <c r="O78" s="99"/>
      <c r="P78" s="99"/>
      <c r="Q78" s="97" t="s">
        <v>133</v>
      </c>
      <c r="R78" s="98"/>
      <c r="S78" s="98"/>
      <c r="T78" s="98"/>
      <c r="U78" s="95" t="e">
        <f>HLOOKUP($C$8,'Lookup Table'!$A$1:$Y$86,57,0)</f>
        <v>#N/A</v>
      </c>
      <c r="V78" s="72">
        <v>3854.25</v>
      </c>
      <c r="W78" s="72" t="e">
        <f t="shared" si="7"/>
        <v>#N/A</v>
      </c>
      <c r="X78" s="95" t="e">
        <f>SUM($C$26:$D$26)</f>
        <v>#N/A</v>
      </c>
      <c r="Y78" s="72" t="e">
        <f t="shared" si="9"/>
        <v>#N/A</v>
      </c>
      <c r="Z78" s="96"/>
    </row>
    <row r="79" spans="6:26" s="86" customFormat="1" ht="15" customHeight="1" x14ac:dyDescent="0.2">
      <c r="F79" s="97" t="s">
        <v>134</v>
      </c>
      <c r="G79" s="98"/>
      <c r="H79" s="98"/>
      <c r="I79" s="98"/>
      <c r="J79" s="92" t="e">
        <f t="shared" si="6"/>
        <v>#N/A</v>
      </c>
      <c r="K79" s="93"/>
      <c r="L79" s="93"/>
      <c r="M79" s="93"/>
      <c r="N79" s="94"/>
      <c r="O79" s="99"/>
      <c r="P79" s="99"/>
      <c r="Q79" s="97" t="s">
        <v>134</v>
      </c>
      <c r="R79" s="98"/>
      <c r="S79" s="98"/>
      <c r="T79" s="98"/>
      <c r="U79" s="95" t="e">
        <f>HLOOKUP($C$8,'Lookup Table'!$A$1:$Y$86,57,0)</f>
        <v>#N/A</v>
      </c>
      <c r="V79" s="72">
        <v>2414.25</v>
      </c>
      <c r="W79" s="72" t="e">
        <f t="shared" si="7"/>
        <v>#N/A</v>
      </c>
      <c r="X79" s="95" t="e">
        <f>SUM($E$26:$F$26)</f>
        <v>#N/A</v>
      </c>
      <c r="Y79" s="72" t="e">
        <f t="shared" si="9"/>
        <v>#N/A</v>
      </c>
      <c r="Z79" s="96"/>
    </row>
    <row r="80" spans="6:26" x14ac:dyDescent="0.2">
      <c r="W80" s="86"/>
    </row>
    <row r="81" spans="2:25" ht="15.75" thickBot="1" x14ac:dyDescent="0.3">
      <c r="B81" s="83" t="s">
        <v>41</v>
      </c>
      <c r="C81" s="84"/>
      <c r="D81" s="84"/>
      <c r="E81" s="84"/>
      <c r="F81" s="84"/>
      <c r="G81" s="84"/>
      <c r="H81" s="84"/>
      <c r="I81" s="84"/>
      <c r="J81" s="85" t="e">
        <f>SUM(J65,J66,J67,J68,J69,J70,J71,J72,J73,J74,J78)</f>
        <v>#N/A</v>
      </c>
      <c r="K81" s="85" t="e">
        <f>J81</f>
        <v>#N/A</v>
      </c>
      <c r="L81" s="85" t="e">
        <f t="shared" ref="L81:N81" si="11">K81</f>
        <v>#N/A</v>
      </c>
      <c r="M81" s="85" t="e">
        <f t="shared" si="11"/>
        <v>#N/A</v>
      </c>
      <c r="N81" s="85" t="e">
        <f t="shared" si="11"/>
        <v>#N/A</v>
      </c>
      <c r="V81" s="100" t="s">
        <v>113</v>
      </c>
      <c r="W81" s="101" t="e">
        <f>SUM(W65:W79)</f>
        <v>#N/A</v>
      </c>
    </row>
    <row r="82" spans="2:25" ht="15" thickTop="1" x14ac:dyDescent="0.2">
      <c r="J82" s="86"/>
      <c r="K82" s="86"/>
      <c r="L82" s="86"/>
      <c r="M82" s="86"/>
      <c r="N82" s="86"/>
    </row>
    <row r="83" spans="2:25" ht="15" x14ac:dyDescent="0.25">
      <c r="B83" s="83" t="s">
        <v>42</v>
      </c>
      <c r="C83" s="84"/>
      <c r="D83" s="84"/>
      <c r="E83" s="84"/>
      <c r="F83" s="84"/>
      <c r="G83" s="84"/>
      <c r="H83" s="84"/>
      <c r="I83" s="84"/>
      <c r="J83" s="85" t="e">
        <f>IF(SUM($E$26:$F$26)&gt;0,SUM($J$65:$N$79),0)</f>
        <v>#N/A</v>
      </c>
      <c r="K83" s="85" t="e">
        <f>IF(SUM($E$26:$F$26)&gt;0,SUM($J$65:$N$79),0)</f>
        <v>#N/A</v>
      </c>
      <c r="L83" s="85" t="e">
        <f>IF(SUM($E$26:$F$26)&gt;0,SUM($J$65:$N$79),0)</f>
        <v>#N/A</v>
      </c>
      <c r="M83" s="85" t="e">
        <f>IF(SUM($E$26:$F$26)&gt;0,SUM($J$65:$N$79),0)</f>
        <v>#N/A</v>
      </c>
      <c r="N83" s="85" t="e">
        <f>IF(SUM($E$26:$F$26)&gt;0,SUM($J$65:$N$79),0)</f>
        <v>#N/A</v>
      </c>
    </row>
    <row r="84" spans="2:25" x14ac:dyDescent="0.2">
      <c r="J84" s="86"/>
      <c r="K84" s="86"/>
      <c r="L84" s="86"/>
      <c r="M84" s="86"/>
      <c r="N84" s="86"/>
    </row>
    <row r="85" spans="2:25" ht="15" x14ac:dyDescent="0.25">
      <c r="B85" s="83" t="s">
        <v>43</v>
      </c>
      <c r="C85" s="84"/>
      <c r="D85" s="84"/>
      <c r="E85" s="84"/>
      <c r="F85" s="84"/>
      <c r="G85" s="84"/>
      <c r="H85" s="84"/>
      <c r="I85" s="84"/>
      <c r="J85" s="85" t="e">
        <f>IF($F$26&gt;0,SUM($J$65:$N$79),0)</f>
        <v>#N/A</v>
      </c>
      <c r="K85" s="85" t="e">
        <f>IF($F$26&gt;0,SUM($J$65:$N$79),0)</f>
        <v>#N/A</v>
      </c>
      <c r="L85" s="85" t="e">
        <f>IF($F$26&gt;0,SUM($J$65:$N$79),0)</f>
        <v>#N/A</v>
      </c>
      <c r="M85" s="85" t="e">
        <f>IF($F$26&gt;0,SUM($J$65:$N$79),0)</f>
        <v>#N/A</v>
      </c>
      <c r="N85" s="85" t="e">
        <f>IF($F$26&gt;0,SUM($J$65:$N$79),0)</f>
        <v>#N/A</v>
      </c>
    </row>
    <row r="87" spans="2:25" ht="15" x14ac:dyDescent="0.25">
      <c r="B87" s="65" t="s">
        <v>51</v>
      </c>
    </row>
    <row r="89" spans="2:25" ht="15" x14ac:dyDescent="0.2">
      <c r="J89" s="12" t="s">
        <v>17</v>
      </c>
      <c r="K89" s="12" t="s">
        <v>18</v>
      </c>
      <c r="L89" s="12" t="s">
        <v>19</v>
      </c>
      <c r="M89" s="12" t="s">
        <v>20</v>
      </c>
      <c r="N89" s="12" t="s">
        <v>21</v>
      </c>
    </row>
    <row r="90" spans="2:25" ht="15" x14ac:dyDescent="0.2">
      <c r="F90" s="70" t="s">
        <v>56</v>
      </c>
      <c r="G90" s="71"/>
      <c r="H90" s="71"/>
      <c r="I90" s="71"/>
      <c r="J90" s="72" t="e">
        <f>J56+J81</f>
        <v>#N/A</v>
      </c>
      <c r="K90" s="72" t="e">
        <f>K56+K81</f>
        <v>#N/A</v>
      </c>
      <c r="L90" s="72" t="e">
        <f>L56+L81</f>
        <v>#N/A</v>
      </c>
      <c r="M90" s="72" t="e">
        <f>M56+M81</f>
        <v>#N/A</v>
      </c>
      <c r="N90" s="72" t="e">
        <f>N56+N81</f>
        <v>#N/A</v>
      </c>
    </row>
    <row r="91" spans="2:25" ht="15" x14ac:dyDescent="0.2">
      <c r="F91" s="70" t="s">
        <v>57</v>
      </c>
      <c r="G91" s="71"/>
      <c r="H91" s="71"/>
      <c r="I91" s="71"/>
      <c r="J91" s="72" t="e">
        <f>J58+J83</f>
        <v>#N/A</v>
      </c>
      <c r="K91" s="72" t="e">
        <f>K58+K83</f>
        <v>#N/A</v>
      </c>
      <c r="L91" s="72" t="e">
        <f>L58+L83</f>
        <v>#N/A</v>
      </c>
      <c r="M91" s="72" t="e">
        <f>M58+M83</f>
        <v>#N/A</v>
      </c>
      <c r="N91" s="72" t="e">
        <f>N58+N83</f>
        <v>#N/A</v>
      </c>
    </row>
    <row r="92" spans="2:25" ht="15" x14ac:dyDescent="0.2">
      <c r="F92" s="70" t="s">
        <v>58</v>
      </c>
      <c r="G92" s="71"/>
      <c r="H92" s="71"/>
      <c r="I92" s="71"/>
      <c r="J92" s="72" t="e">
        <f>J60+J85</f>
        <v>#N/A</v>
      </c>
      <c r="K92" s="72" t="e">
        <f>K60+K85</f>
        <v>#N/A</v>
      </c>
      <c r="L92" s="72" t="e">
        <f>L60+L85</f>
        <v>#N/A</v>
      </c>
      <c r="M92" s="72" t="e">
        <f>M60+M85</f>
        <v>#N/A</v>
      </c>
      <c r="N92" s="72" t="e">
        <f>N60+N85</f>
        <v>#N/A</v>
      </c>
      <c r="V92" s="102" t="s">
        <v>144</v>
      </c>
      <c r="X92" s="102" t="s">
        <v>145</v>
      </c>
      <c r="Y92" s="103"/>
    </row>
    <row r="93" spans="2:25" x14ac:dyDescent="0.2">
      <c r="J93" s="104"/>
      <c r="K93" s="104"/>
      <c r="L93" s="104"/>
      <c r="M93" s="104"/>
      <c r="N93" s="104"/>
      <c r="V93" s="105"/>
      <c r="X93" s="105"/>
      <c r="Y93" s="106"/>
    </row>
    <row r="94" spans="2:25" x14ac:dyDescent="0.2">
      <c r="V94" s="105"/>
      <c r="X94" s="105"/>
      <c r="Y94" s="106"/>
    </row>
    <row r="95" spans="2:25" ht="15" x14ac:dyDescent="0.25">
      <c r="B95" s="65" t="s">
        <v>59</v>
      </c>
      <c r="Q95" s="65" t="s">
        <v>60</v>
      </c>
      <c r="V95" s="105"/>
      <c r="X95" s="105"/>
      <c r="Y95" s="106"/>
    </row>
    <row r="96" spans="2:25" x14ac:dyDescent="0.2">
      <c r="V96" s="105"/>
      <c r="X96" s="105"/>
      <c r="Y96" s="106"/>
    </row>
    <row r="97" spans="2:25" ht="105" x14ac:dyDescent="0.2">
      <c r="J97" s="12" t="s">
        <v>17</v>
      </c>
      <c r="K97" s="12" t="s">
        <v>18</v>
      </c>
      <c r="L97" s="12" t="s">
        <v>19</v>
      </c>
      <c r="M97" s="12" t="s">
        <v>20</v>
      </c>
      <c r="N97" s="12" t="s">
        <v>21</v>
      </c>
      <c r="Q97" s="107" t="s">
        <v>61</v>
      </c>
      <c r="R97" s="108"/>
      <c r="S97" s="108"/>
      <c r="T97" s="109" t="s">
        <v>192</v>
      </c>
      <c r="U97" s="110" t="s">
        <v>142</v>
      </c>
      <c r="V97" s="109" t="s">
        <v>210</v>
      </c>
      <c r="W97" s="109" t="s">
        <v>143</v>
      </c>
      <c r="X97" s="109" t="s">
        <v>111</v>
      </c>
      <c r="Y97" s="111"/>
    </row>
    <row r="98" spans="2:25" ht="15" x14ac:dyDescent="0.2">
      <c r="F98" s="70" t="s">
        <v>56</v>
      </c>
      <c r="G98" s="71"/>
      <c r="H98" s="71"/>
      <c r="I98" s="71"/>
      <c r="J98" s="72" t="e">
        <f>X98</f>
        <v>#N/A</v>
      </c>
      <c r="K98" s="72" t="e">
        <f>X99</f>
        <v>#N/A</v>
      </c>
      <c r="L98" s="72" t="e">
        <f>X100</f>
        <v>#N/A</v>
      </c>
      <c r="M98" s="72" t="e">
        <f>X101</f>
        <v>#N/A</v>
      </c>
      <c r="N98" s="72" t="e">
        <f>X102</f>
        <v>#N/A</v>
      </c>
      <c r="Q98" s="112" t="s">
        <v>17</v>
      </c>
      <c r="R98" s="113"/>
      <c r="S98" s="113"/>
      <c r="T98" s="24" t="e">
        <f>HLOOKUP(DFENUM,'Lookup Table'!$B$1:$Y$76,62,0)</f>
        <v>#N/A</v>
      </c>
      <c r="U98" s="24" t="e">
        <f>J90</f>
        <v>#N/A</v>
      </c>
      <c r="V98" s="24" t="e">
        <f>(HLOOKUP($C$8,'Lookup Table'!$A$1:$Y$86,41,0)*(5/12))+(U98*(7/12))</f>
        <v>#N/A</v>
      </c>
      <c r="W98" s="24" t="e">
        <f>T98*0.985</f>
        <v>#N/A</v>
      </c>
      <c r="X98" s="24" t="e">
        <f>IF(V98&gt;W98,0,W98-V98)</f>
        <v>#N/A</v>
      </c>
      <c r="Y98" s="114"/>
    </row>
    <row r="99" spans="2:25" ht="15" x14ac:dyDescent="0.2">
      <c r="F99" s="70" t="s">
        <v>57</v>
      </c>
      <c r="G99" s="71"/>
      <c r="H99" s="71"/>
      <c r="I99" s="71"/>
      <c r="J99" s="72" t="e">
        <f>X103</f>
        <v>#N/A</v>
      </c>
      <c r="K99" s="72" t="e">
        <f>X104</f>
        <v>#N/A</v>
      </c>
      <c r="L99" s="72" t="e">
        <f>X105</f>
        <v>#N/A</v>
      </c>
      <c r="M99" s="72" t="e">
        <f>X106</f>
        <v>#N/A</v>
      </c>
      <c r="N99" s="72" t="e">
        <f>X107</f>
        <v>#N/A</v>
      </c>
      <c r="Q99" s="112" t="s">
        <v>18</v>
      </c>
      <c r="R99" s="113"/>
      <c r="S99" s="113"/>
      <c r="T99" s="24" t="e">
        <f>HLOOKUP(DFENUM,'Lookup Table'!$B$1:$Y$76,63,0)</f>
        <v>#N/A</v>
      </c>
      <c r="U99" s="24" t="e">
        <f>K90</f>
        <v>#N/A</v>
      </c>
      <c r="V99" s="24" t="e">
        <f>(HLOOKUP($C$8,'Lookup Table'!$A$1:$Y$86,42,0)*(5/12))+(U99*(7/12))</f>
        <v>#N/A</v>
      </c>
      <c r="W99" s="24" t="e">
        <f t="shared" ref="W99:W112" si="12">T99*0.985</f>
        <v>#N/A</v>
      </c>
      <c r="X99" s="24" t="e">
        <f t="shared" ref="X99:X112" si="13">IF(V99&gt;W99,0,W99-V99)</f>
        <v>#N/A</v>
      </c>
      <c r="Y99" s="114"/>
    </row>
    <row r="100" spans="2:25" ht="15" x14ac:dyDescent="0.2">
      <c r="F100" s="70" t="s">
        <v>58</v>
      </c>
      <c r="G100" s="71"/>
      <c r="H100" s="71"/>
      <c r="I100" s="71"/>
      <c r="J100" s="72" t="e">
        <f>X108</f>
        <v>#N/A</v>
      </c>
      <c r="K100" s="72" t="e">
        <f>X109</f>
        <v>#N/A</v>
      </c>
      <c r="L100" s="72" t="e">
        <f>X110</f>
        <v>#N/A</v>
      </c>
      <c r="M100" s="72" t="e">
        <f>X111</f>
        <v>#N/A</v>
      </c>
      <c r="N100" s="72" t="e">
        <f>X112</f>
        <v>#N/A</v>
      </c>
      <c r="Q100" s="112" t="s">
        <v>19</v>
      </c>
      <c r="R100" s="113"/>
      <c r="S100" s="113"/>
      <c r="T100" s="24" t="e">
        <f>HLOOKUP(DFENUM,'Lookup Table'!$B$1:$Y$76,64,0)</f>
        <v>#N/A</v>
      </c>
      <c r="U100" s="24" t="e">
        <f>L90</f>
        <v>#N/A</v>
      </c>
      <c r="V100" s="24" t="e">
        <f>(HLOOKUP($C$8,'Lookup Table'!$A$1:$Y$86,43,0)*(5/12))+(U100*(7/12))</f>
        <v>#N/A</v>
      </c>
      <c r="W100" s="24" t="e">
        <f t="shared" si="12"/>
        <v>#N/A</v>
      </c>
      <c r="X100" s="24" t="e">
        <f t="shared" si="13"/>
        <v>#N/A</v>
      </c>
      <c r="Y100" s="114"/>
    </row>
    <row r="101" spans="2:25" ht="15" x14ac:dyDescent="0.2">
      <c r="J101" s="86"/>
      <c r="K101" s="86"/>
      <c r="L101" s="86"/>
      <c r="M101" s="86"/>
      <c r="N101" s="86"/>
      <c r="Q101" s="112" t="s">
        <v>20</v>
      </c>
      <c r="R101" s="113"/>
      <c r="S101" s="113"/>
      <c r="T101" s="24" t="e">
        <f>HLOOKUP(DFENUM,'Lookup Table'!$B$1:$Y$76,65,0)</f>
        <v>#N/A</v>
      </c>
      <c r="U101" s="24" t="e">
        <f>M90</f>
        <v>#N/A</v>
      </c>
      <c r="V101" s="24" t="e">
        <f>(HLOOKUP($C$8,'Lookup Table'!$A$1:$Y$86,44,0)*(5/12))+(U101*(7/12))</f>
        <v>#N/A</v>
      </c>
      <c r="W101" s="24" t="e">
        <f t="shared" si="12"/>
        <v>#N/A</v>
      </c>
      <c r="X101" s="24" t="e">
        <f t="shared" si="13"/>
        <v>#N/A</v>
      </c>
      <c r="Y101" s="114"/>
    </row>
    <row r="102" spans="2:25" ht="15" x14ac:dyDescent="0.2">
      <c r="J102" s="86"/>
      <c r="K102" s="86"/>
      <c r="L102" s="86"/>
      <c r="M102" s="86"/>
      <c r="N102" s="86"/>
      <c r="Q102" s="112" t="s">
        <v>21</v>
      </c>
      <c r="R102" s="113"/>
      <c r="S102" s="113"/>
      <c r="T102" s="24" t="e">
        <f>HLOOKUP(DFENUM,'Lookup Table'!$B$1:$Y$76,66,0)</f>
        <v>#N/A</v>
      </c>
      <c r="U102" s="24" t="e">
        <f>N90</f>
        <v>#N/A</v>
      </c>
      <c r="V102" s="24" t="e">
        <f>(HLOOKUP($C$8,'Lookup Table'!$A$1:$Y$86,45,0)*(5/12))+(U102*(7/12))</f>
        <v>#N/A</v>
      </c>
      <c r="W102" s="24" t="e">
        <f t="shared" si="12"/>
        <v>#N/A</v>
      </c>
      <c r="X102" s="24" t="e">
        <f t="shared" si="13"/>
        <v>#N/A</v>
      </c>
      <c r="Y102" s="114"/>
    </row>
    <row r="103" spans="2:25" ht="15" x14ac:dyDescent="0.25">
      <c r="B103" s="65" t="s">
        <v>141</v>
      </c>
      <c r="J103" s="86"/>
      <c r="K103" s="86"/>
      <c r="L103" s="86"/>
      <c r="M103" s="86"/>
      <c r="N103" s="86"/>
      <c r="Q103" s="112" t="s">
        <v>62</v>
      </c>
      <c r="R103" s="113"/>
      <c r="S103" s="113"/>
      <c r="T103" s="24" t="e">
        <f>HLOOKUP(DFENUM,'Lookup Table'!$B$1:$Y$76,67,0)</f>
        <v>#N/A</v>
      </c>
      <c r="U103" s="24" t="e">
        <f>J91</f>
        <v>#N/A</v>
      </c>
      <c r="V103" s="24" t="e">
        <f>(HLOOKUP($C$8,'Lookup Table'!$A$1:$Y$86,46,0)*(5/12))+(U103*(7/12))</f>
        <v>#N/A</v>
      </c>
      <c r="W103" s="24" t="e">
        <f t="shared" si="12"/>
        <v>#N/A</v>
      </c>
      <c r="X103" s="24" t="e">
        <f t="shared" si="13"/>
        <v>#N/A</v>
      </c>
      <c r="Y103" s="114"/>
    </row>
    <row r="104" spans="2:25" ht="15" x14ac:dyDescent="0.2">
      <c r="J104" s="86"/>
      <c r="K104" s="86"/>
      <c r="L104" s="86"/>
      <c r="M104" s="86"/>
      <c r="N104" s="86"/>
      <c r="Q104" s="112" t="s">
        <v>63</v>
      </c>
      <c r="R104" s="113"/>
      <c r="S104" s="113"/>
      <c r="T104" s="24" t="e">
        <f>HLOOKUP(DFENUM,'Lookup Table'!$B$1:$Y$76,68,0)</f>
        <v>#N/A</v>
      </c>
      <c r="U104" s="24" t="e">
        <f>K91</f>
        <v>#N/A</v>
      </c>
      <c r="V104" s="24" t="e">
        <f>(HLOOKUP($C$8,'Lookup Table'!$A$1:$Y$86,47,0)*(5/12))+(U104*(7/12))</f>
        <v>#N/A</v>
      </c>
      <c r="W104" s="24" t="e">
        <f t="shared" si="12"/>
        <v>#N/A</v>
      </c>
      <c r="X104" s="24" t="e">
        <f t="shared" si="13"/>
        <v>#N/A</v>
      </c>
      <c r="Y104" s="114"/>
    </row>
    <row r="105" spans="2:25" ht="15" x14ac:dyDescent="0.2">
      <c r="J105" s="115" t="s">
        <v>17</v>
      </c>
      <c r="K105" s="115" t="s">
        <v>18</v>
      </c>
      <c r="L105" s="115" t="s">
        <v>19</v>
      </c>
      <c r="M105" s="115" t="s">
        <v>20</v>
      </c>
      <c r="N105" s="115" t="s">
        <v>21</v>
      </c>
      <c r="Q105" s="112" t="s">
        <v>64</v>
      </c>
      <c r="R105" s="113"/>
      <c r="S105" s="113"/>
      <c r="T105" s="24" t="e">
        <f>HLOOKUP(DFENUM,'Lookup Table'!$B$1:$Y$76,69,0)</f>
        <v>#N/A</v>
      </c>
      <c r="U105" s="24" t="e">
        <f>L91</f>
        <v>#N/A</v>
      </c>
      <c r="V105" s="24" t="e">
        <f>(HLOOKUP($C$8,'Lookup Table'!$A$1:$Y$86,48,0)*(5/12))+(U105*(7/12))</f>
        <v>#N/A</v>
      </c>
      <c r="W105" s="24" t="e">
        <f t="shared" si="12"/>
        <v>#N/A</v>
      </c>
      <c r="X105" s="24" t="e">
        <f t="shared" si="13"/>
        <v>#N/A</v>
      </c>
      <c r="Y105" s="114"/>
    </row>
    <row r="106" spans="2:25" ht="15" x14ac:dyDescent="0.2">
      <c r="F106" s="70" t="s">
        <v>56</v>
      </c>
      <c r="G106" s="71"/>
      <c r="H106" s="71"/>
      <c r="I106" s="71"/>
      <c r="J106" s="72" t="e">
        <f>J90+J98</f>
        <v>#N/A</v>
      </c>
      <c r="K106" s="72" t="e">
        <f t="shared" ref="K106:N106" si="14">K90+K98</f>
        <v>#N/A</v>
      </c>
      <c r="L106" s="72" t="e">
        <f t="shared" si="14"/>
        <v>#N/A</v>
      </c>
      <c r="M106" s="72" t="e">
        <f t="shared" si="14"/>
        <v>#N/A</v>
      </c>
      <c r="N106" s="72" t="e">
        <f t="shared" si="14"/>
        <v>#N/A</v>
      </c>
      <c r="Q106" s="112" t="s">
        <v>65</v>
      </c>
      <c r="R106" s="113"/>
      <c r="S106" s="113"/>
      <c r="T106" s="24" t="e">
        <f>HLOOKUP(DFENUM,'Lookup Table'!$B$1:$Y$76,70,0)</f>
        <v>#N/A</v>
      </c>
      <c r="U106" s="24" t="e">
        <f>M91</f>
        <v>#N/A</v>
      </c>
      <c r="V106" s="24" t="e">
        <f>(HLOOKUP($C$8,'Lookup Table'!$A$1:$Y$86,49,0)*(5/12))+(U106*(7/12))</f>
        <v>#N/A</v>
      </c>
      <c r="W106" s="24" t="e">
        <f t="shared" si="12"/>
        <v>#N/A</v>
      </c>
      <c r="X106" s="24" t="e">
        <f t="shared" si="13"/>
        <v>#N/A</v>
      </c>
      <c r="Y106" s="114"/>
    </row>
    <row r="107" spans="2:25" ht="15" x14ac:dyDescent="0.2">
      <c r="F107" s="70" t="s">
        <v>57</v>
      </c>
      <c r="G107" s="71"/>
      <c r="H107" s="71"/>
      <c r="I107" s="71"/>
      <c r="J107" s="72" t="e">
        <f t="shared" ref="J107:N107" si="15">J91+J99</f>
        <v>#N/A</v>
      </c>
      <c r="K107" s="72" t="e">
        <f t="shared" si="15"/>
        <v>#N/A</v>
      </c>
      <c r="L107" s="72" t="e">
        <f t="shared" si="15"/>
        <v>#N/A</v>
      </c>
      <c r="M107" s="72" t="e">
        <f t="shared" si="15"/>
        <v>#N/A</v>
      </c>
      <c r="N107" s="72" t="e">
        <f t="shared" si="15"/>
        <v>#N/A</v>
      </c>
      <c r="Q107" s="112" t="s">
        <v>66</v>
      </c>
      <c r="R107" s="113"/>
      <c r="S107" s="113"/>
      <c r="T107" s="24" t="e">
        <f>HLOOKUP(DFENUM,'Lookup Table'!$B$1:$Y$76,71,0)</f>
        <v>#N/A</v>
      </c>
      <c r="U107" s="24" t="e">
        <f>N91</f>
        <v>#N/A</v>
      </c>
      <c r="V107" s="24" t="e">
        <f>(HLOOKUP($C$8,'Lookup Table'!$A$1:$Y$86,50,0)*(5/12))+(U107*(7/12))</f>
        <v>#N/A</v>
      </c>
      <c r="W107" s="24" t="e">
        <f t="shared" si="12"/>
        <v>#N/A</v>
      </c>
      <c r="X107" s="24" t="e">
        <f t="shared" si="13"/>
        <v>#N/A</v>
      </c>
      <c r="Y107" s="114"/>
    </row>
    <row r="108" spans="2:25" ht="15" x14ac:dyDescent="0.2">
      <c r="F108" s="70" t="s">
        <v>58</v>
      </c>
      <c r="G108" s="71"/>
      <c r="H108" s="71"/>
      <c r="I108" s="71"/>
      <c r="J108" s="72" t="e">
        <f t="shared" ref="J108:N108" si="16">J92+J100</f>
        <v>#N/A</v>
      </c>
      <c r="K108" s="72" t="e">
        <f t="shared" si="16"/>
        <v>#N/A</v>
      </c>
      <c r="L108" s="72" t="e">
        <f t="shared" si="16"/>
        <v>#N/A</v>
      </c>
      <c r="M108" s="72" t="e">
        <f t="shared" si="16"/>
        <v>#N/A</v>
      </c>
      <c r="N108" s="72" t="e">
        <f t="shared" si="16"/>
        <v>#N/A</v>
      </c>
      <c r="Q108" s="112" t="s">
        <v>67</v>
      </c>
      <c r="R108" s="113"/>
      <c r="S108" s="113"/>
      <c r="T108" s="24" t="e">
        <f>HLOOKUP(DFENUM,'Lookup Table'!$B$1:$Y$76,72,0)</f>
        <v>#N/A</v>
      </c>
      <c r="U108" s="24" t="e">
        <f>J92</f>
        <v>#N/A</v>
      </c>
      <c r="V108" s="24" t="e">
        <f>(HLOOKUP($C$8,'Lookup Table'!$A$1:$Y$86,51,0)*(5/12))+(U108*(7/12))</f>
        <v>#N/A</v>
      </c>
      <c r="W108" s="24" t="e">
        <f t="shared" si="12"/>
        <v>#N/A</v>
      </c>
      <c r="X108" s="24" t="e">
        <f t="shared" si="13"/>
        <v>#N/A</v>
      </c>
      <c r="Y108" s="114"/>
    </row>
    <row r="109" spans="2:25" ht="15" x14ac:dyDescent="0.2">
      <c r="Q109" s="112" t="s">
        <v>68</v>
      </c>
      <c r="R109" s="113"/>
      <c r="S109" s="113"/>
      <c r="T109" s="24" t="e">
        <f>HLOOKUP(DFENUM,'Lookup Table'!$B$1:$Y$76,73,0)</f>
        <v>#N/A</v>
      </c>
      <c r="U109" s="24" t="e">
        <f>K92</f>
        <v>#N/A</v>
      </c>
      <c r="V109" s="24" t="e">
        <f>(HLOOKUP($C$8,'Lookup Table'!$A$1:$Y$86,52,0)*(5/12))+(U109*(7/12))</f>
        <v>#N/A</v>
      </c>
      <c r="W109" s="24" t="e">
        <f t="shared" si="12"/>
        <v>#N/A</v>
      </c>
      <c r="X109" s="24" t="e">
        <f t="shared" si="13"/>
        <v>#N/A</v>
      </c>
      <c r="Y109" s="114"/>
    </row>
    <row r="110" spans="2:25" ht="15" x14ac:dyDescent="0.2">
      <c r="Q110" s="112" t="s">
        <v>69</v>
      </c>
      <c r="R110" s="113"/>
      <c r="S110" s="113"/>
      <c r="T110" s="24" t="e">
        <f>HLOOKUP(DFENUM,'Lookup Table'!$B$1:$Y$76,74,0)</f>
        <v>#N/A</v>
      </c>
      <c r="U110" s="24" t="e">
        <f>L92</f>
        <v>#N/A</v>
      </c>
      <c r="V110" s="24" t="e">
        <f>(HLOOKUP($C$8,'Lookup Table'!$A$1:$Y$86,53,0)*(5/12))+(U110*(7/12))</f>
        <v>#N/A</v>
      </c>
      <c r="W110" s="24" t="e">
        <f t="shared" si="12"/>
        <v>#N/A</v>
      </c>
      <c r="X110" s="24" t="e">
        <f t="shared" si="13"/>
        <v>#N/A</v>
      </c>
      <c r="Y110" s="114"/>
    </row>
    <row r="111" spans="2:25" ht="15" x14ac:dyDescent="0.2">
      <c r="Q111" s="112" t="s">
        <v>70</v>
      </c>
      <c r="R111" s="113"/>
      <c r="S111" s="113"/>
      <c r="T111" s="24" t="e">
        <f>HLOOKUP(DFENUM,'Lookup Table'!$B$1:$Y$76,75,0)</f>
        <v>#N/A</v>
      </c>
      <c r="U111" s="24" t="e">
        <f>M92</f>
        <v>#N/A</v>
      </c>
      <c r="V111" s="24" t="e">
        <f>(HLOOKUP($C$8,'Lookup Table'!$A$1:$Y$86,54,0)*(5/12))+(U111*(7/12))</f>
        <v>#N/A</v>
      </c>
      <c r="W111" s="24" t="e">
        <f t="shared" si="12"/>
        <v>#N/A</v>
      </c>
      <c r="X111" s="24" t="e">
        <f t="shared" si="13"/>
        <v>#N/A</v>
      </c>
      <c r="Y111" s="114"/>
    </row>
    <row r="112" spans="2:25" ht="15" x14ac:dyDescent="0.2">
      <c r="Q112" s="112" t="s">
        <v>71</v>
      </c>
      <c r="R112" s="113"/>
      <c r="S112" s="113"/>
      <c r="T112" s="24" t="e">
        <f>HLOOKUP(DFENUM,'Lookup Table'!$B$1:$Y$76,76,0)</f>
        <v>#N/A</v>
      </c>
      <c r="U112" s="24" t="e">
        <f>N92</f>
        <v>#N/A</v>
      </c>
      <c r="V112" s="24" t="e">
        <f>(HLOOKUP($C$8,'Lookup Table'!$A$1:$Y$86,55,0)*(5/12))+(U112*(7/12))</f>
        <v>#N/A</v>
      </c>
      <c r="W112" s="24" t="e">
        <f t="shared" si="12"/>
        <v>#N/A</v>
      </c>
      <c r="X112" s="24" t="e">
        <f t="shared" si="13"/>
        <v>#N/A</v>
      </c>
      <c r="Y112" s="114"/>
    </row>
    <row r="115" spans="21:21" x14ac:dyDescent="0.2">
      <c r="U115" s="104"/>
    </row>
    <row r="116" spans="21:21" x14ac:dyDescent="0.2">
      <c r="U116" s="104"/>
    </row>
    <row r="117" spans="21:21" x14ac:dyDescent="0.2">
      <c r="U117" s="104"/>
    </row>
    <row r="118" spans="21:21" x14ac:dyDescent="0.2">
      <c r="U118" s="104"/>
    </row>
    <row r="119" spans="21:21" x14ac:dyDescent="0.2">
      <c r="U119" s="104"/>
    </row>
    <row r="120" spans="21:21" x14ac:dyDescent="0.2">
      <c r="U120" s="104"/>
    </row>
    <row r="121" spans="21:21" x14ac:dyDescent="0.2">
      <c r="U121" s="104"/>
    </row>
    <row r="122" spans="21:21" x14ac:dyDescent="0.2">
      <c r="U122" s="104"/>
    </row>
    <row r="123" spans="21:21" x14ac:dyDescent="0.2">
      <c r="U123" s="104"/>
    </row>
    <row r="124" spans="21:21" x14ac:dyDescent="0.2">
      <c r="U124" s="104"/>
    </row>
  </sheetData>
  <sheetProtection password="FF6B" sheet="1" objects="1" scenarios="1"/>
  <mergeCells count="116">
    <mergeCell ref="F78:I78"/>
    <mergeCell ref="Q78:T78"/>
    <mergeCell ref="J78:N78"/>
    <mergeCell ref="Y92:Y96"/>
    <mergeCell ref="N14:N15"/>
    <mergeCell ref="C15:C17"/>
    <mergeCell ref="I16:I17"/>
    <mergeCell ref="J16:J17"/>
    <mergeCell ref="K16:K17"/>
    <mergeCell ref="L16:L17"/>
    <mergeCell ref="M16:M17"/>
    <mergeCell ref="N16:N17"/>
    <mergeCell ref="I14:I15"/>
    <mergeCell ref="J14:J15"/>
    <mergeCell ref="K14:K15"/>
    <mergeCell ref="L14:L15"/>
    <mergeCell ref="M14:M15"/>
    <mergeCell ref="V92:V96"/>
    <mergeCell ref="X92:X96"/>
    <mergeCell ref="Q41:T51"/>
    <mergeCell ref="V41:X51"/>
    <mergeCell ref="M24:M25"/>
    <mergeCell ref="N24:N25"/>
    <mergeCell ref="J26:J27"/>
    <mergeCell ref="K26:K27"/>
    <mergeCell ref="L26:L27"/>
    <mergeCell ref="F71:I71"/>
    <mergeCell ref="M26:M27"/>
    <mergeCell ref="N26:N27"/>
    <mergeCell ref="I24:I25"/>
    <mergeCell ref="I26:I27"/>
    <mergeCell ref="J24:J25"/>
    <mergeCell ref="K24:K25"/>
    <mergeCell ref="L24:L25"/>
    <mergeCell ref="F49:I49"/>
    <mergeCell ref="F42:I42"/>
    <mergeCell ref="F43:I43"/>
    <mergeCell ref="F44:I44"/>
    <mergeCell ref="F45:I45"/>
    <mergeCell ref="F46:I46"/>
    <mergeCell ref="F47:I47"/>
    <mergeCell ref="F48:I48"/>
    <mergeCell ref="F54:I54"/>
    <mergeCell ref="F53:I53"/>
    <mergeCell ref="F52:I52"/>
    <mergeCell ref="Q65:T65"/>
    <mergeCell ref="Q66:T66"/>
    <mergeCell ref="Q67:T67"/>
    <mergeCell ref="Q68:T68"/>
    <mergeCell ref="Q69:T69"/>
    <mergeCell ref="Q77:T77"/>
    <mergeCell ref="Q79:T79"/>
    <mergeCell ref="J64:N64"/>
    <mergeCell ref="J65:N65"/>
    <mergeCell ref="J66:N66"/>
    <mergeCell ref="J67:N67"/>
    <mergeCell ref="J68:N68"/>
    <mergeCell ref="J69:N69"/>
    <mergeCell ref="J70:N70"/>
    <mergeCell ref="J71:N71"/>
    <mergeCell ref="Q71:T71"/>
    <mergeCell ref="Q72:T72"/>
    <mergeCell ref="Q73:T73"/>
    <mergeCell ref="Q74:T74"/>
    <mergeCell ref="Q75:T75"/>
    <mergeCell ref="Q76:T76"/>
    <mergeCell ref="J79:N79"/>
    <mergeCell ref="Q70:T70"/>
    <mergeCell ref="F107:I107"/>
    <mergeCell ref="F108:I108"/>
    <mergeCell ref="E8:K8"/>
    <mergeCell ref="J72:N72"/>
    <mergeCell ref="J73:N73"/>
    <mergeCell ref="J74:N74"/>
    <mergeCell ref="J75:N75"/>
    <mergeCell ref="J76:N76"/>
    <mergeCell ref="J77:N77"/>
    <mergeCell ref="F75:I75"/>
    <mergeCell ref="F76:I76"/>
    <mergeCell ref="F77:I77"/>
    <mergeCell ref="F73:I73"/>
    <mergeCell ref="F74:I74"/>
    <mergeCell ref="F50:I50"/>
    <mergeCell ref="F72:I72"/>
    <mergeCell ref="F79:I79"/>
    <mergeCell ref="F51:I51"/>
    <mergeCell ref="F65:I65"/>
    <mergeCell ref="F66:I66"/>
    <mergeCell ref="F67:I67"/>
    <mergeCell ref="F68:I68"/>
    <mergeCell ref="F69:I69"/>
    <mergeCell ref="F70:I70"/>
    <mergeCell ref="Q112:S112"/>
    <mergeCell ref="Q103:S103"/>
    <mergeCell ref="Q104:S104"/>
    <mergeCell ref="Q105:S105"/>
    <mergeCell ref="Q106:S106"/>
    <mergeCell ref="Q107:S107"/>
    <mergeCell ref="Q108:S108"/>
    <mergeCell ref="B34:M34"/>
    <mergeCell ref="Q97:S97"/>
    <mergeCell ref="Q98:S98"/>
    <mergeCell ref="Q99:S99"/>
    <mergeCell ref="Q100:S100"/>
    <mergeCell ref="Q101:S101"/>
    <mergeCell ref="Q102:S102"/>
    <mergeCell ref="Q109:S109"/>
    <mergeCell ref="Q110:S110"/>
    <mergeCell ref="Q111:S111"/>
    <mergeCell ref="F90:I90"/>
    <mergeCell ref="F91:I91"/>
    <mergeCell ref="F92:I92"/>
    <mergeCell ref="F98:I98"/>
    <mergeCell ref="F99:I99"/>
    <mergeCell ref="F100:I100"/>
    <mergeCell ref="F106:I106"/>
  </mergeCells>
  <dataValidations count="1">
    <dataValidation type="list" allowBlank="1" showInputMessage="1" showErrorMessage="1" sqref="C8">
      <formula1>dfenums</formula1>
    </dataValidation>
  </dataValidations>
  <pageMargins left="0" right="0" top="0.19685039370078741" bottom="0.19685039370078741" header="0.31496062992125984" footer="0.31496062992125984"/>
  <pageSetup paperSize="9" scale="56" orientation="portrait" r:id="rId1"/>
  <rowBreaks count="2" manualBreakCount="2">
    <brk id="30" max="26" man="1"/>
    <brk id="113" max="26" man="1"/>
  </rowBreaks>
  <colBreaks count="1" manualBreakCount="1">
    <brk id="15" max="108" man="1"/>
  </colBreaks>
  <ignoredErrors>
    <ignoredError sqref="X78:X79"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L19"/>
  <sheetViews>
    <sheetView showGridLines="0" workbookViewId="0"/>
  </sheetViews>
  <sheetFormatPr defaultRowHeight="15" x14ac:dyDescent="0.2"/>
  <cols>
    <col min="1" max="2" width="9.140625" style="117"/>
    <col min="3" max="3" width="42" style="117" bestFit="1" customWidth="1"/>
    <col min="4" max="5" width="12.7109375" style="117" bestFit="1" customWidth="1"/>
    <col min="6" max="6" width="15.28515625" style="117" customWidth="1"/>
    <col min="7" max="8" width="9.140625" style="117"/>
    <col min="9" max="9" width="24.7109375" style="117" bestFit="1" customWidth="1"/>
    <col min="10" max="10" width="11.42578125" style="117" bestFit="1" customWidth="1"/>
    <col min="11" max="16384" width="9.140625" style="117"/>
  </cols>
  <sheetData>
    <row r="2" spans="2:12" s="117" customFormat="1" ht="20.25" x14ac:dyDescent="0.3">
      <c r="B2" s="116" t="s">
        <v>146</v>
      </c>
    </row>
    <row r="5" spans="2:12" s="117" customFormat="1" ht="18" x14ac:dyDescent="0.25">
      <c r="C5" s="20" t="s">
        <v>121</v>
      </c>
    </row>
    <row r="7" spans="2:12" s="117" customFormat="1" ht="15.75" x14ac:dyDescent="0.25">
      <c r="C7" s="118" t="s">
        <v>119</v>
      </c>
      <c r="D7" s="119">
        <v>50000</v>
      </c>
      <c r="I7" s="120" t="s">
        <v>127</v>
      </c>
    </row>
    <row r="8" spans="2:12" s="117" customFormat="1" ht="15.75" x14ac:dyDescent="0.25">
      <c r="C8" s="118" t="s">
        <v>120</v>
      </c>
      <c r="D8" s="119">
        <v>8681.57</v>
      </c>
    </row>
    <row r="9" spans="2:12" s="117" customFormat="1" ht="15.75" x14ac:dyDescent="0.25">
      <c r="I9" s="121" t="s">
        <v>128</v>
      </c>
      <c r="J9" s="119">
        <v>7073.65</v>
      </c>
      <c r="L9" s="122"/>
    </row>
    <row r="10" spans="2:12" s="117" customFormat="1" ht="18" x14ac:dyDescent="0.25">
      <c r="C10" s="20" t="s">
        <v>122</v>
      </c>
      <c r="I10" s="121" t="s">
        <v>129</v>
      </c>
      <c r="J10" s="119">
        <v>1003.07</v>
      </c>
    </row>
    <row r="11" spans="2:12" s="117" customFormat="1" x14ac:dyDescent="0.2">
      <c r="I11" s="121" t="s">
        <v>130</v>
      </c>
      <c r="J11" s="119">
        <v>354.08</v>
      </c>
    </row>
    <row r="12" spans="2:12" s="117" customFormat="1" ht="15.75" x14ac:dyDescent="0.25">
      <c r="D12" s="118" t="s">
        <v>45</v>
      </c>
      <c r="E12" s="118" t="s">
        <v>46</v>
      </c>
      <c r="F12" s="118" t="s">
        <v>47</v>
      </c>
      <c r="I12" s="121" t="s">
        <v>131</v>
      </c>
      <c r="J12" s="119">
        <v>250.77</v>
      </c>
    </row>
    <row r="13" spans="2:12" s="117" customFormat="1" ht="15.75" x14ac:dyDescent="0.25">
      <c r="C13" s="118" t="s">
        <v>123</v>
      </c>
      <c r="D13" s="123" t="e">
        <f>HLOOKUP(DFENUM,'Lookup Table'!B1:Y40,40,0)</f>
        <v>#N/A</v>
      </c>
      <c r="E13" s="119">
        <v>50000</v>
      </c>
      <c r="F13" s="119" t="e">
        <f>E13*D13</f>
        <v>#N/A</v>
      </c>
      <c r="I13" s="121" t="s">
        <v>132</v>
      </c>
      <c r="J13" s="119">
        <v>8681.57</v>
      </c>
    </row>
    <row r="14" spans="2:12" s="117" customFormat="1" ht="15.75" x14ac:dyDescent="0.25">
      <c r="C14" s="118" t="s">
        <v>9</v>
      </c>
      <c r="D14" s="123" t="e">
        <f>HLOOKUP(DFENUM,'Lookup Table'!B1:Y61,61,0)</f>
        <v>#N/A</v>
      </c>
      <c r="E14" s="119">
        <v>8681.57</v>
      </c>
      <c r="F14" s="119" t="e">
        <f>E14*D14</f>
        <v>#N/A</v>
      </c>
    </row>
    <row r="15" spans="2:12" s="117" customFormat="1" x14ac:dyDescent="0.2">
      <c r="F15" s="124"/>
    </row>
    <row r="16" spans="2:12" s="117" customFormat="1" ht="16.5" thickBot="1" x14ac:dyDescent="0.3">
      <c r="E16" s="125" t="s">
        <v>126</v>
      </c>
      <c r="F16" s="126" t="e">
        <f>F14+F13</f>
        <v>#N/A</v>
      </c>
    </row>
    <row r="17" spans="3:3" s="117" customFormat="1" ht="15.75" thickTop="1" x14ac:dyDescent="0.2"/>
    <row r="19" spans="3:3" s="117" customFormat="1" x14ac:dyDescent="0.2">
      <c r="C19" s="117" t="s">
        <v>135</v>
      </c>
    </row>
  </sheetData>
  <sheetProtection password="FF6B" sheet="1" objects="1" scenarios="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E76"/>
  <sheetViews>
    <sheetView showGridLines="0" zoomScaleNormal="100" workbookViewId="0">
      <pane xSplit="1" ySplit="2" topLeftCell="B3" activePane="bottomRight" state="frozen"/>
      <selection pane="topRight" activeCell="B1" sqref="B1"/>
      <selection pane="bottomLeft" activeCell="A3" sqref="A3"/>
      <selection pane="bottomRight"/>
    </sheetView>
  </sheetViews>
  <sheetFormatPr defaultRowHeight="15" x14ac:dyDescent="0.25"/>
  <cols>
    <col min="1" max="1" width="64" bestFit="1" customWidth="1"/>
    <col min="2" max="2" width="19" customWidth="1"/>
    <col min="3" max="3" width="18.5703125" customWidth="1"/>
    <col min="4" max="4" width="14.140625" customWidth="1"/>
    <col min="5" max="5" width="14.5703125" customWidth="1"/>
    <col min="6" max="6" width="18.28515625" customWidth="1"/>
    <col min="7" max="7" width="14.28515625" customWidth="1"/>
    <col min="8" max="8" width="33.28515625" customWidth="1"/>
    <col min="9" max="9" width="18.85546875" customWidth="1"/>
    <col min="10" max="10" width="21" customWidth="1"/>
    <col min="11" max="11" width="18.140625" customWidth="1"/>
    <col min="12" max="12" width="16.140625" customWidth="1"/>
    <col min="13" max="13" width="18.85546875" customWidth="1"/>
    <col min="14" max="14" width="14.5703125" customWidth="1"/>
    <col min="15" max="15" width="15.85546875" customWidth="1"/>
    <col min="16" max="16" width="19.140625" customWidth="1"/>
    <col min="17" max="17" width="15.7109375" customWidth="1"/>
    <col min="18" max="18" width="17.5703125" customWidth="1"/>
    <col min="19" max="19" width="21.5703125" customWidth="1"/>
    <col min="20" max="20" width="15.5703125" customWidth="1"/>
    <col min="21" max="21" width="17.7109375" customWidth="1"/>
    <col min="22" max="22" width="16.42578125" customWidth="1"/>
    <col min="23" max="23" width="18.140625" customWidth="1"/>
    <col min="24" max="24" width="13.5703125" customWidth="1"/>
    <col min="25" max="25" width="19.42578125" customWidth="1"/>
    <col min="26" max="27" width="9.140625" customWidth="1"/>
    <col min="28" max="28" width="9.7109375" bestFit="1" customWidth="1"/>
    <col min="29" max="29" width="35.42578125" customWidth="1"/>
    <col min="30" max="30" width="56.42578125" customWidth="1"/>
  </cols>
  <sheetData>
    <row r="1" spans="1:31" x14ac:dyDescent="0.25">
      <c r="A1" s="1" t="s">
        <v>0</v>
      </c>
      <c r="B1" s="1">
        <v>7032</v>
      </c>
      <c r="C1" s="1">
        <v>7033</v>
      </c>
      <c r="D1" s="1">
        <v>7044</v>
      </c>
      <c r="E1" s="1">
        <v>7045</v>
      </c>
      <c r="F1" s="1">
        <v>7062</v>
      </c>
      <c r="G1" s="1">
        <v>7034</v>
      </c>
      <c r="H1" s="1">
        <v>7041</v>
      </c>
      <c r="I1" s="1">
        <v>7067</v>
      </c>
      <c r="J1" s="1">
        <v>7002</v>
      </c>
      <c r="K1" s="1">
        <v>7052</v>
      </c>
      <c r="L1" s="1">
        <v>7058</v>
      </c>
      <c r="M1" s="1">
        <v>7073</v>
      </c>
      <c r="N1" s="1">
        <v>7021</v>
      </c>
      <c r="O1" s="1">
        <v>7039</v>
      </c>
      <c r="P1" s="1">
        <v>7040</v>
      </c>
      <c r="Q1" s="1">
        <v>7043</v>
      </c>
      <c r="R1" s="1">
        <v>7051</v>
      </c>
      <c r="S1" s="1">
        <v>7056</v>
      </c>
      <c r="T1" s="1">
        <v>7059</v>
      </c>
      <c r="U1" s="1">
        <v>7063</v>
      </c>
      <c r="V1" s="1">
        <v>7066</v>
      </c>
      <c r="W1" s="1">
        <v>7069</v>
      </c>
      <c r="X1" s="1">
        <v>7070</v>
      </c>
      <c r="Y1" s="1">
        <v>7072</v>
      </c>
    </row>
    <row r="2" spans="1:31" x14ac:dyDescent="0.25">
      <c r="A2" s="1" t="s">
        <v>96</v>
      </c>
      <c r="B2" s="1" t="s">
        <v>72</v>
      </c>
      <c r="C2" s="1" t="s">
        <v>73</v>
      </c>
      <c r="D2" s="1" t="s">
        <v>74</v>
      </c>
      <c r="E2" s="1" t="s">
        <v>75</v>
      </c>
      <c r="F2" s="1" t="s">
        <v>76</v>
      </c>
      <c r="G2" s="1" t="s">
        <v>77</v>
      </c>
      <c r="H2" s="1" t="s">
        <v>78</v>
      </c>
      <c r="I2" s="1" t="s">
        <v>79</v>
      </c>
      <c r="J2" s="1" t="s">
        <v>80</v>
      </c>
      <c r="K2" s="1" t="s">
        <v>81</v>
      </c>
      <c r="L2" s="1" t="s">
        <v>82</v>
      </c>
      <c r="M2" s="1" t="s">
        <v>83</v>
      </c>
      <c r="N2" s="1" t="s">
        <v>84</v>
      </c>
      <c r="O2" s="1" t="s">
        <v>85</v>
      </c>
      <c r="P2" s="1" t="s">
        <v>86</v>
      </c>
      <c r="Q2" s="1" t="s">
        <v>87</v>
      </c>
      <c r="R2" s="1" t="s">
        <v>88</v>
      </c>
      <c r="S2" s="1" t="s">
        <v>89</v>
      </c>
      <c r="T2" s="1" t="s">
        <v>90</v>
      </c>
      <c r="U2" s="1" t="s">
        <v>91</v>
      </c>
      <c r="V2" s="1" t="s">
        <v>92</v>
      </c>
      <c r="W2" s="1" t="s">
        <v>93</v>
      </c>
      <c r="X2" s="1" t="s">
        <v>94</v>
      </c>
      <c r="Y2" s="1" t="s">
        <v>95</v>
      </c>
      <c r="AB2" s="1"/>
      <c r="AC2" s="1" t="s">
        <v>21</v>
      </c>
      <c r="AD2" s="1" t="s">
        <v>18</v>
      </c>
    </row>
    <row r="3" spans="1:31" x14ac:dyDescent="0.25">
      <c r="A3" s="2"/>
      <c r="B3" s="2"/>
      <c r="C3" s="2"/>
      <c r="D3" s="2"/>
      <c r="E3" s="2"/>
      <c r="F3" s="2"/>
      <c r="G3" s="2"/>
      <c r="H3" s="2"/>
      <c r="I3" s="2"/>
      <c r="J3" s="2"/>
      <c r="K3" s="2"/>
      <c r="L3" s="2"/>
      <c r="M3" s="2"/>
      <c r="N3" s="2"/>
      <c r="O3" s="2"/>
      <c r="P3" s="2"/>
      <c r="Q3" s="2"/>
      <c r="R3" s="2"/>
      <c r="S3" s="2"/>
      <c r="T3" s="2"/>
      <c r="U3" s="2"/>
      <c r="V3" s="2"/>
      <c r="W3" s="2"/>
      <c r="X3" s="2"/>
      <c r="Y3" s="2"/>
      <c r="AB3" s="1" t="s">
        <v>103</v>
      </c>
      <c r="AC3" s="4" t="s">
        <v>214</v>
      </c>
      <c r="AD3" s="4" t="s">
        <v>212</v>
      </c>
      <c r="AE3" t="s">
        <v>109</v>
      </c>
    </row>
    <row r="4" spans="1:31" x14ac:dyDescent="0.25">
      <c r="A4" s="2" t="s">
        <v>97</v>
      </c>
      <c r="B4" s="2">
        <v>208</v>
      </c>
      <c r="C4" s="2">
        <v>105</v>
      </c>
      <c r="D4" s="2">
        <v>116</v>
      </c>
      <c r="E4" s="2">
        <v>108</v>
      </c>
      <c r="F4" s="2">
        <v>80</v>
      </c>
      <c r="G4" s="2">
        <v>50</v>
      </c>
      <c r="H4" s="2">
        <v>110</v>
      </c>
      <c r="I4" s="2">
        <v>60</v>
      </c>
      <c r="J4" s="2">
        <v>73</v>
      </c>
      <c r="K4" s="2">
        <v>60</v>
      </c>
      <c r="L4" s="2">
        <v>27</v>
      </c>
      <c r="M4" s="2">
        <v>182</v>
      </c>
      <c r="N4" s="2">
        <v>70</v>
      </c>
      <c r="O4" s="2">
        <v>171</v>
      </c>
      <c r="P4" s="2">
        <v>153</v>
      </c>
      <c r="Q4" s="2">
        <v>141</v>
      </c>
      <c r="R4" s="2">
        <v>92</v>
      </c>
      <c r="S4" s="2">
        <v>183</v>
      </c>
      <c r="T4" s="2">
        <v>114</v>
      </c>
      <c r="U4" s="2">
        <v>173</v>
      </c>
      <c r="V4" s="2">
        <v>198</v>
      </c>
      <c r="W4" s="2">
        <v>155</v>
      </c>
      <c r="X4" s="2">
        <v>147</v>
      </c>
      <c r="Y4" s="2">
        <v>173</v>
      </c>
      <c r="AB4" s="1" t="s">
        <v>18</v>
      </c>
      <c r="AC4" s="4" t="s">
        <v>214</v>
      </c>
      <c r="AD4" s="4" t="s">
        <v>211</v>
      </c>
      <c r="AE4" t="s">
        <v>109</v>
      </c>
    </row>
    <row r="5" spans="1:31" x14ac:dyDescent="0.25">
      <c r="A5" s="2" t="s">
        <v>98</v>
      </c>
      <c r="B5" s="2">
        <v>0</v>
      </c>
      <c r="C5" s="2">
        <v>0</v>
      </c>
      <c r="D5" s="2">
        <v>0</v>
      </c>
      <c r="E5" s="2">
        <v>0</v>
      </c>
      <c r="F5" s="2">
        <v>0</v>
      </c>
      <c r="G5" s="2">
        <v>0</v>
      </c>
      <c r="H5" s="2">
        <v>0</v>
      </c>
      <c r="I5" s="2">
        <v>0</v>
      </c>
      <c r="J5" s="2">
        <v>31</v>
      </c>
      <c r="K5" s="2">
        <v>39</v>
      </c>
      <c r="L5" s="2">
        <v>29</v>
      </c>
      <c r="M5" s="2">
        <v>0</v>
      </c>
      <c r="N5" s="2">
        <v>30</v>
      </c>
      <c r="O5" s="2">
        <v>31</v>
      </c>
      <c r="P5" s="2">
        <v>17</v>
      </c>
      <c r="Q5" s="2">
        <v>35</v>
      </c>
      <c r="R5" s="2">
        <v>14</v>
      </c>
      <c r="S5" s="2">
        <v>33</v>
      </c>
      <c r="T5" s="2">
        <v>23</v>
      </c>
      <c r="U5" s="2">
        <v>36</v>
      </c>
      <c r="V5" s="2">
        <v>49</v>
      </c>
      <c r="W5" s="2">
        <v>33</v>
      </c>
      <c r="X5" s="2">
        <v>44</v>
      </c>
      <c r="Y5" s="2">
        <v>48</v>
      </c>
      <c r="AB5" s="3" t="s">
        <v>104</v>
      </c>
      <c r="AC5" s="4" t="s">
        <v>215</v>
      </c>
      <c r="AD5" s="4" t="s">
        <v>213</v>
      </c>
      <c r="AE5" t="s">
        <v>109</v>
      </c>
    </row>
    <row r="6" spans="1:31" x14ac:dyDescent="0.25">
      <c r="A6" s="2" t="s">
        <v>99</v>
      </c>
      <c r="B6" s="2">
        <v>0</v>
      </c>
      <c r="C6" s="2">
        <v>0</v>
      </c>
      <c r="D6" s="2">
        <v>0</v>
      </c>
      <c r="E6" s="2">
        <v>0</v>
      </c>
      <c r="F6" s="2">
        <v>0</v>
      </c>
      <c r="G6" s="2">
        <v>19</v>
      </c>
      <c r="H6" s="2">
        <v>19</v>
      </c>
      <c r="I6" s="2">
        <v>0</v>
      </c>
      <c r="J6" s="2">
        <v>0</v>
      </c>
      <c r="K6" s="2">
        <v>0</v>
      </c>
      <c r="L6" s="2">
        <v>0</v>
      </c>
      <c r="M6" s="2">
        <v>20</v>
      </c>
      <c r="N6" s="2">
        <v>36</v>
      </c>
      <c r="O6" s="2">
        <v>0</v>
      </c>
      <c r="P6" s="2">
        <v>0</v>
      </c>
      <c r="Q6" s="2">
        <v>0</v>
      </c>
      <c r="R6" s="2">
        <v>0</v>
      </c>
      <c r="S6" s="2">
        <v>0</v>
      </c>
      <c r="T6" s="2">
        <v>0</v>
      </c>
      <c r="U6" s="2">
        <v>0</v>
      </c>
      <c r="V6" s="2">
        <v>0</v>
      </c>
      <c r="W6" s="2">
        <v>0</v>
      </c>
      <c r="X6" s="2">
        <v>0</v>
      </c>
      <c r="Y6" s="2">
        <v>0</v>
      </c>
      <c r="AB6" s="3" t="s">
        <v>105</v>
      </c>
      <c r="AC6" s="4" t="s">
        <v>214</v>
      </c>
      <c r="AD6" s="4" t="s">
        <v>213</v>
      </c>
      <c r="AE6" t="s">
        <v>109</v>
      </c>
    </row>
    <row r="7" spans="1:31" x14ac:dyDescent="0.25">
      <c r="A7" s="2" t="s">
        <v>100</v>
      </c>
      <c r="B7" s="2">
        <v>0</v>
      </c>
      <c r="C7" s="2">
        <v>0</v>
      </c>
      <c r="D7" s="2">
        <v>0</v>
      </c>
      <c r="E7" s="2">
        <v>0</v>
      </c>
      <c r="F7" s="2">
        <v>0</v>
      </c>
      <c r="G7" s="2">
        <v>0</v>
      </c>
      <c r="H7" s="2">
        <v>0</v>
      </c>
      <c r="I7" s="2">
        <v>0</v>
      </c>
      <c r="J7" s="2">
        <v>0</v>
      </c>
      <c r="K7" s="2">
        <v>0</v>
      </c>
      <c r="L7" s="2">
        <v>35</v>
      </c>
      <c r="M7" s="2">
        <v>0</v>
      </c>
      <c r="N7" s="2">
        <v>15</v>
      </c>
      <c r="O7" s="2">
        <v>0</v>
      </c>
      <c r="P7" s="2">
        <v>0</v>
      </c>
      <c r="Q7" s="2">
        <v>0</v>
      </c>
      <c r="R7" s="2">
        <v>0</v>
      </c>
      <c r="S7" s="2">
        <v>0</v>
      </c>
      <c r="T7" s="2">
        <v>0</v>
      </c>
      <c r="U7" s="2">
        <v>0</v>
      </c>
      <c r="V7" s="2">
        <v>0</v>
      </c>
      <c r="W7" s="2">
        <v>0</v>
      </c>
      <c r="X7" s="2">
        <v>0</v>
      </c>
      <c r="Y7" s="2">
        <v>0</v>
      </c>
      <c r="AB7" s="3" t="s">
        <v>106</v>
      </c>
      <c r="AC7" s="4" t="s">
        <v>215</v>
      </c>
      <c r="AD7" s="4" t="s">
        <v>213</v>
      </c>
      <c r="AE7" t="s">
        <v>109</v>
      </c>
    </row>
    <row r="8" spans="1:31" x14ac:dyDescent="0.25">
      <c r="A8" s="2" t="s">
        <v>148</v>
      </c>
      <c r="B8" s="2">
        <v>208</v>
      </c>
      <c r="C8" s="2">
        <v>101</v>
      </c>
      <c r="D8" s="2">
        <v>106</v>
      </c>
      <c r="E8" s="2">
        <v>105</v>
      </c>
      <c r="F8" s="2">
        <v>80</v>
      </c>
      <c r="G8" s="2">
        <v>40</v>
      </c>
      <c r="H8" s="2">
        <v>130</v>
      </c>
      <c r="I8" s="2">
        <v>55</v>
      </c>
      <c r="J8" s="2">
        <v>88</v>
      </c>
      <c r="K8" s="2">
        <v>61</v>
      </c>
      <c r="L8" s="2">
        <v>28</v>
      </c>
      <c r="M8" s="2">
        <v>182</v>
      </c>
      <c r="N8" s="2">
        <v>68</v>
      </c>
      <c r="O8" s="2">
        <v>180</v>
      </c>
      <c r="P8" s="2">
        <v>133</v>
      </c>
      <c r="Q8" s="2">
        <v>165</v>
      </c>
      <c r="R8" s="2">
        <v>101</v>
      </c>
      <c r="S8" s="2">
        <v>207</v>
      </c>
      <c r="T8" s="2">
        <v>116</v>
      </c>
      <c r="U8" s="2">
        <v>177</v>
      </c>
      <c r="V8" s="2">
        <v>211</v>
      </c>
      <c r="W8" s="2">
        <v>154</v>
      </c>
      <c r="X8" s="2">
        <v>145</v>
      </c>
      <c r="Y8" s="2">
        <v>187</v>
      </c>
      <c r="AB8" s="3" t="s">
        <v>107</v>
      </c>
      <c r="AC8" s="4" t="s">
        <v>216</v>
      </c>
      <c r="AD8" s="4" t="s">
        <v>213</v>
      </c>
      <c r="AE8" t="s">
        <v>109</v>
      </c>
    </row>
    <row r="9" spans="1:31" x14ac:dyDescent="0.25">
      <c r="A9" s="2" t="s">
        <v>149</v>
      </c>
      <c r="B9" s="2">
        <v>0</v>
      </c>
      <c r="C9" s="2">
        <v>0</v>
      </c>
      <c r="D9" s="2">
        <v>0</v>
      </c>
      <c r="E9" s="2">
        <v>0</v>
      </c>
      <c r="F9" s="2">
        <v>0</v>
      </c>
      <c r="G9" s="2">
        <v>0</v>
      </c>
      <c r="H9" s="2">
        <v>0</v>
      </c>
      <c r="I9" s="2">
        <v>0</v>
      </c>
      <c r="J9" s="2">
        <v>26</v>
      </c>
      <c r="K9" s="2">
        <v>39</v>
      </c>
      <c r="L9" s="2">
        <v>28</v>
      </c>
      <c r="M9" s="2">
        <v>0</v>
      </c>
      <c r="N9" s="2">
        <v>35</v>
      </c>
      <c r="O9" s="2">
        <v>43</v>
      </c>
      <c r="P9" s="2">
        <v>30</v>
      </c>
      <c r="Q9" s="2">
        <v>37</v>
      </c>
      <c r="R9" s="2">
        <v>9</v>
      </c>
      <c r="S9" s="2">
        <v>30</v>
      </c>
      <c r="T9" s="2">
        <v>15</v>
      </c>
      <c r="U9" s="2">
        <v>40</v>
      </c>
      <c r="V9" s="2">
        <v>50</v>
      </c>
      <c r="W9" s="2">
        <v>36</v>
      </c>
      <c r="X9" s="2">
        <v>43</v>
      </c>
      <c r="Y9" s="2">
        <v>41</v>
      </c>
      <c r="AB9" s="3" t="s">
        <v>108</v>
      </c>
      <c r="AC9" s="4" t="s">
        <v>214</v>
      </c>
      <c r="AD9" s="4" t="s">
        <v>110</v>
      </c>
      <c r="AE9" t="s">
        <v>109</v>
      </c>
    </row>
    <row r="10" spans="1:31" s="5" customFormat="1" x14ac:dyDescent="0.25">
      <c r="A10" s="2" t="s">
        <v>150</v>
      </c>
      <c r="B10" s="2">
        <v>0</v>
      </c>
      <c r="C10" s="2">
        <v>0</v>
      </c>
      <c r="D10" s="2">
        <v>0</v>
      </c>
      <c r="E10" s="2">
        <v>0</v>
      </c>
      <c r="F10" s="2">
        <v>0</v>
      </c>
      <c r="G10" s="2">
        <v>19</v>
      </c>
      <c r="H10" s="2">
        <v>0</v>
      </c>
      <c r="I10" s="2">
        <v>0</v>
      </c>
      <c r="J10" s="2">
        <v>0</v>
      </c>
      <c r="K10" s="2">
        <v>0</v>
      </c>
      <c r="L10" s="2">
        <v>0</v>
      </c>
      <c r="M10" s="2">
        <v>20</v>
      </c>
      <c r="N10" s="2">
        <v>36</v>
      </c>
      <c r="O10" s="2">
        <v>0</v>
      </c>
      <c r="P10" s="2">
        <v>0</v>
      </c>
      <c r="Q10" s="2">
        <v>0</v>
      </c>
      <c r="R10" s="2">
        <v>0</v>
      </c>
      <c r="S10" s="2">
        <v>0</v>
      </c>
      <c r="T10" s="2">
        <v>0</v>
      </c>
      <c r="U10" s="2">
        <v>0</v>
      </c>
      <c r="V10" s="2">
        <v>0</v>
      </c>
      <c r="W10" s="2">
        <v>0</v>
      </c>
      <c r="X10" s="2">
        <v>0</v>
      </c>
      <c r="Y10" s="2">
        <v>0</v>
      </c>
    </row>
    <row r="11" spans="1:31" s="5" customFormat="1" x14ac:dyDescent="0.25">
      <c r="A11" s="2" t="s">
        <v>151</v>
      </c>
      <c r="B11" s="2">
        <v>0</v>
      </c>
      <c r="C11" s="2">
        <v>0</v>
      </c>
      <c r="D11" s="2">
        <v>0</v>
      </c>
      <c r="E11" s="2">
        <v>0</v>
      </c>
      <c r="F11" s="2">
        <v>0</v>
      </c>
      <c r="G11" s="2">
        <v>0</v>
      </c>
      <c r="H11" s="2">
        <v>0</v>
      </c>
      <c r="I11" s="2">
        <v>0</v>
      </c>
      <c r="J11" s="2">
        <v>0</v>
      </c>
      <c r="K11" s="2">
        <v>0</v>
      </c>
      <c r="L11" s="2">
        <v>35</v>
      </c>
      <c r="M11" s="2">
        <v>0</v>
      </c>
      <c r="N11" s="2">
        <v>15</v>
      </c>
      <c r="O11" s="2">
        <v>0</v>
      </c>
      <c r="P11" s="2">
        <v>0</v>
      </c>
      <c r="Q11" s="2">
        <v>0</v>
      </c>
      <c r="R11" s="2">
        <v>0</v>
      </c>
      <c r="S11" s="2">
        <v>0</v>
      </c>
      <c r="T11" s="2">
        <v>0</v>
      </c>
      <c r="U11" s="2">
        <v>0</v>
      </c>
      <c r="V11" s="2">
        <v>0</v>
      </c>
      <c r="W11" s="2">
        <v>0</v>
      </c>
      <c r="X11" s="2">
        <v>0</v>
      </c>
      <c r="Y11" s="2">
        <v>0</v>
      </c>
    </row>
    <row r="12" spans="1:31" s="5" customFormat="1" x14ac:dyDescent="0.25">
      <c r="A12" s="2" t="s">
        <v>10</v>
      </c>
      <c r="B12" s="2">
        <v>0</v>
      </c>
      <c r="C12" s="2">
        <v>0</v>
      </c>
      <c r="D12" s="2">
        <v>0</v>
      </c>
      <c r="E12" s="2">
        <v>0</v>
      </c>
      <c r="F12" s="2">
        <v>0</v>
      </c>
      <c r="G12" s="2">
        <v>19781.560000000001</v>
      </c>
      <c r="H12" s="2">
        <v>0</v>
      </c>
      <c r="I12" s="2">
        <v>0</v>
      </c>
      <c r="J12" s="2">
        <v>0</v>
      </c>
      <c r="K12" s="2">
        <v>0</v>
      </c>
      <c r="L12" s="2">
        <v>26203.21</v>
      </c>
      <c r="M12" s="2">
        <v>19591.98</v>
      </c>
      <c r="N12" s="2">
        <v>30161.33</v>
      </c>
      <c r="O12" s="2">
        <v>0</v>
      </c>
      <c r="P12" s="2">
        <v>0</v>
      </c>
      <c r="Q12" s="2">
        <v>0</v>
      </c>
      <c r="R12" s="2">
        <v>0</v>
      </c>
      <c r="S12" s="2">
        <v>0</v>
      </c>
      <c r="T12" s="2">
        <v>0</v>
      </c>
      <c r="U12" s="2">
        <v>0</v>
      </c>
      <c r="V12" s="2">
        <v>0</v>
      </c>
      <c r="W12" s="2">
        <v>0</v>
      </c>
      <c r="X12" s="2">
        <v>0</v>
      </c>
      <c r="Y12" s="2">
        <v>0</v>
      </c>
    </row>
    <row r="13" spans="1:31" s="5" customFormat="1" x14ac:dyDescent="0.25">
      <c r="A13" s="2" t="s">
        <v>11</v>
      </c>
      <c r="B13" s="2">
        <v>0</v>
      </c>
      <c r="C13" s="2">
        <v>0</v>
      </c>
      <c r="D13" s="2">
        <v>0</v>
      </c>
      <c r="E13" s="2">
        <v>0</v>
      </c>
      <c r="F13" s="2">
        <v>0</v>
      </c>
      <c r="G13" s="2">
        <v>0</v>
      </c>
      <c r="H13" s="2">
        <v>0</v>
      </c>
      <c r="I13" s="2">
        <v>0</v>
      </c>
      <c r="J13" s="2">
        <v>0</v>
      </c>
      <c r="K13" s="2">
        <v>0</v>
      </c>
      <c r="L13" s="2">
        <v>16460.39</v>
      </c>
      <c r="M13" s="2">
        <v>0</v>
      </c>
      <c r="N13" s="2">
        <v>22621.25</v>
      </c>
      <c r="O13" s="2">
        <v>0</v>
      </c>
      <c r="P13" s="2">
        <v>0</v>
      </c>
      <c r="Q13" s="2">
        <v>0</v>
      </c>
      <c r="R13" s="2">
        <v>0</v>
      </c>
      <c r="S13" s="2">
        <v>0</v>
      </c>
      <c r="T13" s="2">
        <v>0</v>
      </c>
      <c r="U13" s="2">
        <v>0</v>
      </c>
      <c r="V13" s="2">
        <v>0</v>
      </c>
      <c r="W13" s="2">
        <v>0</v>
      </c>
      <c r="X13" s="2">
        <v>0</v>
      </c>
      <c r="Y13" s="2">
        <v>0</v>
      </c>
    </row>
    <row r="14" spans="1:31" s="5" customFormat="1" x14ac:dyDescent="0.25">
      <c r="A14" s="2" t="s">
        <v>15</v>
      </c>
      <c r="B14" s="2">
        <v>0</v>
      </c>
      <c r="C14" s="2">
        <v>0</v>
      </c>
      <c r="D14" s="2">
        <v>0</v>
      </c>
      <c r="E14" s="2">
        <v>0</v>
      </c>
      <c r="F14" s="2">
        <v>0</v>
      </c>
      <c r="G14" s="2">
        <v>1360</v>
      </c>
      <c r="H14" s="2">
        <v>0</v>
      </c>
      <c r="I14" s="2">
        <v>0</v>
      </c>
      <c r="J14" s="2">
        <v>0</v>
      </c>
      <c r="K14" s="2">
        <v>0</v>
      </c>
      <c r="L14" s="2">
        <v>1360</v>
      </c>
      <c r="M14" s="2">
        <v>1360</v>
      </c>
      <c r="N14" s="2">
        <v>1360</v>
      </c>
      <c r="O14" s="2">
        <v>0</v>
      </c>
      <c r="P14" s="2">
        <v>0</v>
      </c>
      <c r="Q14" s="2">
        <v>0</v>
      </c>
      <c r="R14" s="2">
        <v>0</v>
      </c>
      <c r="S14" s="2">
        <v>0</v>
      </c>
      <c r="T14" s="2">
        <v>0</v>
      </c>
      <c r="U14" s="2">
        <v>0</v>
      </c>
      <c r="V14" s="2">
        <v>0</v>
      </c>
      <c r="W14" s="2">
        <v>0</v>
      </c>
      <c r="X14" s="2">
        <v>0</v>
      </c>
      <c r="Y14" s="2">
        <v>0</v>
      </c>
    </row>
    <row r="15" spans="1:31" s="5" customFormat="1" x14ac:dyDescent="0.25">
      <c r="A15" s="2" t="s">
        <v>16</v>
      </c>
      <c r="B15" s="2">
        <v>0</v>
      </c>
      <c r="C15" s="2">
        <v>0</v>
      </c>
      <c r="D15" s="2">
        <v>0</v>
      </c>
      <c r="E15" s="2">
        <v>0</v>
      </c>
      <c r="F15" s="2">
        <v>0</v>
      </c>
      <c r="G15" s="2">
        <v>0</v>
      </c>
      <c r="H15" s="2">
        <v>0</v>
      </c>
      <c r="I15" s="2">
        <v>0</v>
      </c>
      <c r="J15" s="2">
        <v>0</v>
      </c>
      <c r="K15" s="2">
        <v>0</v>
      </c>
      <c r="L15" s="2">
        <v>2050</v>
      </c>
      <c r="M15" s="2">
        <v>0</v>
      </c>
      <c r="N15" s="2">
        <v>2050</v>
      </c>
      <c r="O15" s="2">
        <v>0</v>
      </c>
      <c r="P15" s="2">
        <v>0</v>
      </c>
      <c r="Q15" s="2">
        <v>0</v>
      </c>
      <c r="R15" s="2">
        <v>0</v>
      </c>
      <c r="S15" s="2">
        <v>0</v>
      </c>
      <c r="T15" s="2">
        <v>0</v>
      </c>
      <c r="U15" s="2">
        <v>0</v>
      </c>
      <c r="V15" s="2">
        <v>0</v>
      </c>
      <c r="W15" s="2">
        <v>0</v>
      </c>
      <c r="X15" s="2">
        <v>0</v>
      </c>
      <c r="Y15" s="2">
        <v>0</v>
      </c>
    </row>
    <row r="16" spans="1:31" x14ac:dyDescent="0.25">
      <c r="A16" s="2" t="s">
        <v>153</v>
      </c>
      <c r="B16" s="2">
        <v>80.316831683168289</v>
      </c>
      <c r="C16" s="2">
        <v>61.836734693877553</v>
      </c>
      <c r="D16" s="2">
        <v>59.010309278350519</v>
      </c>
      <c r="E16" s="2">
        <v>56.7</v>
      </c>
      <c r="F16" s="2">
        <v>47.594936708860757</v>
      </c>
      <c r="G16" s="2">
        <v>13.33333333333333</v>
      </c>
      <c r="H16" s="2">
        <v>47.411764705882348</v>
      </c>
      <c r="I16" s="2">
        <v>16.60377358490566</v>
      </c>
      <c r="J16" s="2">
        <v>16.5</v>
      </c>
      <c r="K16" s="2">
        <v>22.580645161290317</v>
      </c>
      <c r="L16" s="2">
        <v>14.518518518518517</v>
      </c>
      <c r="M16" s="2">
        <v>44.270270270270274</v>
      </c>
      <c r="N16" s="2">
        <v>18.57377049180328</v>
      </c>
      <c r="O16" s="2">
        <v>55.09411764705883</v>
      </c>
      <c r="P16" s="2">
        <v>69.857142857142847</v>
      </c>
      <c r="Q16" s="2">
        <v>81.602649006622514</v>
      </c>
      <c r="R16" s="2">
        <v>29.418604651162788</v>
      </c>
      <c r="S16" s="2">
        <v>80.215384615384636</v>
      </c>
      <c r="T16" s="2">
        <v>34.280373831775691</v>
      </c>
      <c r="U16" s="2">
        <v>70.558282208588963</v>
      </c>
      <c r="V16" s="2">
        <v>59.731343283582092</v>
      </c>
      <c r="W16" s="2">
        <v>58.248175182481752</v>
      </c>
      <c r="X16" s="2">
        <v>55.379844961240309</v>
      </c>
      <c r="Y16" s="2">
        <v>77.727272727272734</v>
      </c>
    </row>
    <row r="17" spans="1:25" x14ac:dyDescent="0.25">
      <c r="A17" s="6" t="s">
        <v>154</v>
      </c>
      <c r="B17" s="6">
        <v>4093</v>
      </c>
      <c r="C17" s="6">
        <v>2755</v>
      </c>
      <c r="D17" s="6">
        <v>4165</v>
      </c>
      <c r="E17" s="6">
        <v>2771</v>
      </c>
      <c r="F17" s="6">
        <v>2505</v>
      </c>
      <c r="G17" s="6">
        <v>5669.8930014897633</v>
      </c>
      <c r="H17" s="6">
        <v>5362.3800899999997</v>
      </c>
      <c r="I17" s="6">
        <v>3091</v>
      </c>
      <c r="J17" s="6">
        <v>5145</v>
      </c>
      <c r="K17" s="6">
        <v>1958.53</v>
      </c>
      <c r="L17" s="6">
        <v>2396</v>
      </c>
      <c r="M17" s="6">
        <v>5553.8206730230049</v>
      </c>
      <c r="N17" s="6">
        <v>8799</v>
      </c>
      <c r="O17" s="6">
        <v>4274.1399960000008</v>
      </c>
      <c r="P17" s="6">
        <v>3213</v>
      </c>
      <c r="Q17" s="6">
        <v>1957</v>
      </c>
      <c r="R17" s="6">
        <f>326+2608</f>
        <v>2934</v>
      </c>
      <c r="S17" s="6">
        <v>3659</v>
      </c>
      <c r="T17" s="6">
        <v>5067</v>
      </c>
      <c r="U17" s="6">
        <v>3971.7700100000002</v>
      </c>
      <c r="V17" s="6">
        <v>6491</v>
      </c>
      <c r="W17" s="6">
        <v>4763</v>
      </c>
      <c r="X17" s="6">
        <v>4287</v>
      </c>
      <c r="Y17" s="6">
        <v>6643</v>
      </c>
    </row>
    <row r="18" spans="1:25" x14ac:dyDescent="0.25">
      <c r="A18" s="6" t="s">
        <v>155</v>
      </c>
      <c r="B18" s="6">
        <v>2.1496</v>
      </c>
      <c r="C18" s="6">
        <v>1.54</v>
      </c>
      <c r="D18" s="6">
        <v>1.8948</v>
      </c>
      <c r="E18" s="6">
        <v>2.13</v>
      </c>
      <c r="F18" s="6">
        <v>1.81</v>
      </c>
      <c r="G18" s="6">
        <v>4.41</v>
      </c>
      <c r="H18" s="6">
        <v>7.3492000000000006</v>
      </c>
      <c r="I18" s="6">
        <v>0.81</v>
      </c>
      <c r="J18" s="6">
        <v>6.2750000000000004</v>
      </c>
      <c r="K18" s="6">
        <v>1.1245000000000001</v>
      </c>
      <c r="L18" s="6">
        <v>0.96</v>
      </c>
      <c r="M18" s="6">
        <v>5.4812000000000003</v>
      </c>
      <c r="N18" s="6">
        <v>18.321999999999999</v>
      </c>
      <c r="O18" s="6">
        <v>6.22</v>
      </c>
      <c r="P18" s="6">
        <v>1.5980000000000001</v>
      </c>
      <c r="Q18" s="6">
        <v>0.93130000000000002</v>
      </c>
      <c r="R18" s="6">
        <v>0.86890000000000001</v>
      </c>
      <c r="S18" s="6">
        <v>0.56000000000000005</v>
      </c>
      <c r="T18" s="6">
        <v>8.1371000000000002</v>
      </c>
      <c r="U18" s="6">
        <v>0.93049999999999999</v>
      </c>
      <c r="V18" s="6">
        <v>4.5705</v>
      </c>
      <c r="W18" s="6">
        <v>7.6</v>
      </c>
      <c r="X18" s="6">
        <v>11.4161</v>
      </c>
      <c r="Y18" s="6">
        <v>2.3725999999999998</v>
      </c>
    </row>
    <row r="19" spans="1:25" x14ac:dyDescent="0.25">
      <c r="A19" s="6" t="s">
        <v>156</v>
      </c>
      <c r="B19" s="6">
        <v>0</v>
      </c>
      <c r="C19" s="6">
        <v>0</v>
      </c>
      <c r="D19" s="6">
        <v>0</v>
      </c>
      <c r="E19" s="6">
        <v>0</v>
      </c>
      <c r="F19" s="6">
        <v>0</v>
      </c>
      <c r="G19" s="6">
        <v>0</v>
      </c>
      <c r="H19" s="6">
        <v>0</v>
      </c>
      <c r="I19" s="6">
        <v>0</v>
      </c>
      <c r="J19" s="6">
        <v>0</v>
      </c>
      <c r="K19" s="6">
        <v>1</v>
      </c>
      <c r="L19" s="6">
        <v>0</v>
      </c>
      <c r="M19" s="6">
        <v>0</v>
      </c>
      <c r="N19" s="6">
        <v>0</v>
      </c>
      <c r="O19" s="6">
        <v>0</v>
      </c>
      <c r="P19" s="6">
        <v>0</v>
      </c>
      <c r="Q19" s="6">
        <v>0</v>
      </c>
      <c r="R19" s="6">
        <v>0</v>
      </c>
      <c r="S19" s="6">
        <v>1</v>
      </c>
      <c r="T19" s="6">
        <v>0</v>
      </c>
      <c r="U19" s="6">
        <v>1</v>
      </c>
      <c r="V19" s="6">
        <v>0</v>
      </c>
      <c r="W19" s="6">
        <v>0</v>
      </c>
      <c r="X19" s="6">
        <v>0</v>
      </c>
      <c r="Y19" s="6">
        <v>0</v>
      </c>
    </row>
    <row r="20" spans="1:25" x14ac:dyDescent="0.25">
      <c r="A20" s="6" t="s">
        <v>157</v>
      </c>
      <c r="B20" s="6">
        <v>0</v>
      </c>
      <c r="C20" s="6">
        <v>0</v>
      </c>
      <c r="D20" s="6">
        <v>0</v>
      </c>
      <c r="E20" s="6">
        <v>0</v>
      </c>
      <c r="F20" s="6">
        <v>0</v>
      </c>
      <c r="G20" s="6">
        <v>0</v>
      </c>
      <c r="H20" s="6">
        <v>0</v>
      </c>
      <c r="I20" s="6">
        <v>0</v>
      </c>
      <c r="J20" s="6">
        <v>0</v>
      </c>
      <c r="K20" s="6">
        <v>0</v>
      </c>
      <c r="L20" s="6">
        <v>0</v>
      </c>
      <c r="M20" s="6">
        <v>0</v>
      </c>
      <c r="N20" s="6">
        <v>0</v>
      </c>
      <c r="O20" s="6">
        <v>0</v>
      </c>
      <c r="P20" s="6">
        <v>0</v>
      </c>
      <c r="Q20" s="6">
        <v>0</v>
      </c>
      <c r="R20" s="6">
        <v>0</v>
      </c>
      <c r="S20" s="6">
        <v>9259</v>
      </c>
      <c r="T20" s="6">
        <v>0</v>
      </c>
      <c r="U20" s="6">
        <v>21000</v>
      </c>
      <c r="V20" s="6">
        <v>0</v>
      </c>
      <c r="W20" s="6">
        <v>0</v>
      </c>
      <c r="X20" s="6">
        <v>0</v>
      </c>
      <c r="Y20" s="6">
        <v>0</v>
      </c>
    </row>
    <row r="21" spans="1:25" x14ac:dyDescent="0.25">
      <c r="A21" s="6" t="s">
        <v>158</v>
      </c>
      <c r="B21" s="6">
        <v>0</v>
      </c>
      <c r="C21" s="6">
        <v>0</v>
      </c>
      <c r="D21" s="6">
        <v>0</v>
      </c>
      <c r="E21" s="6">
        <v>0</v>
      </c>
      <c r="F21" s="6">
        <v>0</v>
      </c>
      <c r="G21" s="6">
        <v>0</v>
      </c>
      <c r="H21" s="6">
        <v>0</v>
      </c>
      <c r="I21" s="6">
        <v>0</v>
      </c>
      <c r="J21" s="6">
        <v>0</v>
      </c>
      <c r="K21" s="6">
        <v>0</v>
      </c>
      <c r="L21" s="6">
        <v>1</v>
      </c>
      <c r="M21" s="6">
        <v>0</v>
      </c>
      <c r="N21" s="6">
        <v>1</v>
      </c>
      <c r="O21" s="6">
        <v>1</v>
      </c>
      <c r="P21" s="6">
        <v>1</v>
      </c>
      <c r="Q21" s="6">
        <v>1</v>
      </c>
      <c r="R21" s="6">
        <v>1</v>
      </c>
      <c r="S21" s="6">
        <v>1</v>
      </c>
      <c r="T21" s="6">
        <v>1</v>
      </c>
      <c r="U21" s="6">
        <v>1</v>
      </c>
      <c r="V21" s="6">
        <v>1</v>
      </c>
      <c r="W21" s="6">
        <v>1</v>
      </c>
      <c r="X21" s="6">
        <v>0</v>
      </c>
      <c r="Y21" s="6">
        <v>1</v>
      </c>
    </row>
    <row r="22" spans="1:25" x14ac:dyDescent="0.25">
      <c r="A22" s="6" t="s">
        <v>159</v>
      </c>
      <c r="B22" s="6">
        <v>1</v>
      </c>
      <c r="C22" s="6">
        <v>0</v>
      </c>
      <c r="D22" s="6">
        <v>0</v>
      </c>
      <c r="E22" s="6">
        <v>0</v>
      </c>
      <c r="F22" s="6">
        <v>0</v>
      </c>
      <c r="G22" s="6">
        <v>0</v>
      </c>
      <c r="H22" s="6">
        <v>1</v>
      </c>
      <c r="I22" s="6">
        <v>0</v>
      </c>
      <c r="J22" s="6">
        <v>0</v>
      </c>
      <c r="K22" s="6">
        <v>0</v>
      </c>
      <c r="L22" s="6">
        <v>0</v>
      </c>
      <c r="M22" s="6">
        <v>0</v>
      </c>
      <c r="N22" s="6">
        <v>0</v>
      </c>
      <c r="O22" s="6">
        <v>1</v>
      </c>
      <c r="P22" s="6">
        <v>0</v>
      </c>
      <c r="Q22" s="6">
        <v>0</v>
      </c>
      <c r="R22" s="6">
        <v>0</v>
      </c>
      <c r="S22" s="6">
        <v>1</v>
      </c>
      <c r="T22" s="6">
        <v>1</v>
      </c>
      <c r="U22" s="6">
        <v>1</v>
      </c>
      <c r="V22" s="6">
        <v>1</v>
      </c>
      <c r="W22" s="6">
        <v>1</v>
      </c>
      <c r="X22" s="6">
        <v>0</v>
      </c>
      <c r="Y22" s="6">
        <v>0</v>
      </c>
    </row>
    <row r="23" spans="1:25" x14ac:dyDescent="0.25">
      <c r="A23" s="6" t="s">
        <v>160</v>
      </c>
      <c r="B23" s="6">
        <v>0</v>
      </c>
      <c r="C23" s="6">
        <v>0</v>
      </c>
      <c r="D23" s="6">
        <v>0</v>
      </c>
      <c r="E23" s="6">
        <v>0</v>
      </c>
      <c r="F23" s="6">
        <v>0</v>
      </c>
      <c r="G23" s="6">
        <v>0</v>
      </c>
      <c r="H23" s="6">
        <v>1</v>
      </c>
      <c r="I23" s="6">
        <v>0</v>
      </c>
      <c r="J23" s="6">
        <v>0</v>
      </c>
      <c r="K23" s="6">
        <v>0</v>
      </c>
      <c r="L23" s="6">
        <v>0</v>
      </c>
      <c r="M23" s="6">
        <v>1</v>
      </c>
      <c r="N23" s="6">
        <v>0</v>
      </c>
      <c r="O23" s="6">
        <v>0</v>
      </c>
      <c r="P23" s="6">
        <v>0</v>
      </c>
      <c r="Q23" s="6">
        <v>0</v>
      </c>
      <c r="R23" s="6">
        <v>0</v>
      </c>
      <c r="S23" s="6">
        <v>1</v>
      </c>
      <c r="T23" s="6">
        <v>0</v>
      </c>
      <c r="U23" s="6">
        <v>0</v>
      </c>
      <c r="V23" s="6">
        <v>1</v>
      </c>
      <c r="W23" s="6">
        <v>0</v>
      </c>
      <c r="X23" s="6">
        <v>1</v>
      </c>
      <c r="Y23" s="6">
        <v>0</v>
      </c>
    </row>
    <row r="24" spans="1:25" x14ac:dyDescent="0.25">
      <c r="A24" s="6" t="s">
        <v>161</v>
      </c>
      <c r="B24" s="6">
        <v>0</v>
      </c>
      <c r="C24" s="6">
        <v>0</v>
      </c>
      <c r="D24" s="6">
        <v>0</v>
      </c>
      <c r="E24" s="6">
        <v>0</v>
      </c>
      <c r="F24" s="6">
        <v>0</v>
      </c>
      <c r="G24" s="6">
        <v>632.10699851023674</v>
      </c>
      <c r="H24" s="6">
        <v>0</v>
      </c>
      <c r="I24" s="6">
        <v>0</v>
      </c>
      <c r="J24" s="6">
        <v>0</v>
      </c>
      <c r="K24" s="6">
        <v>0</v>
      </c>
      <c r="L24" s="6">
        <v>0</v>
      </c>
      <c r="M24" s="6">
        <v>493.17932697699496</v>
      </c>
      <c r="N24" s="6">
        <v>0</v>
      </c>
      <c r="O24" s="6">
        <v>0</v>
      </c>
      <c r="P24" s="6">
        <v>0</v>
      </c>
      <c r="Q24" s="6">
        <v>0</v>
      </c>
      <c r="R24" s="6">
        <v>0</v>
      </c>
      <c r="S24" s="6">
        <v>0</v>
      </c>
      <c r="T24" s="6">
        <v>0</v>
      </c>
      <c r="U24" s="6">
        <v>0</v>
      </c>
      <c r="V24" s="6">
        <v>0</v>
      </c>
      <c r="W24" s="6">
        <v>0</v>
      </c>
      <c r="X24" s="6">
        <v>0</v>
      </c>
      <c r="Y24" s="6">
        <v>0</v>
      </c>
    </row>
    <row r="25" spans="1:25" x14ac:dyDescent="0.25">
      <c r="A25" s="6" t="s">
        <v>162</v>
      </c>
      <c r="B25" s="6">
        <v>0</v>
      </c>
      <c r="C25" s="6">
        <v>0</v>
      </c>
      <c r="D25" s="6">
        <v>0</v>
      </c>
      <c r="E25" s="6">
        <v>0</v>
      </c>
      <c r="F25" s="6">
        <v>0</v>
      </c>
      <c r="G25" s="6">
        <v>0</v>
      </c>
      <c r="H25" s="6">
        <v>0</v>
      </c>
      <c r="I25" s="6">
        <v>0</v>
      </c>
      <c r="J25" s="6">
        <v>0</v>
      </c>
      <c r="K25" s="6">
        <v>0</v>
      </c>
      <c r="L25" s="6">
        <v>1482</v>
      </c>
      <c r="M25" s="6">
        <v>0</v>
      </c>
      <c r="N25" s="6">
        <v>1924</v>
      </c>
      <c r="O25" s="6">
        <v>0</v>
      </c>
      <c r="P25" s="6">
        <v>0</v>
      </c>
      <c r="Q25" s="6">
        <v>0</v>
      </c>
      <c r="R25" s="6">
        <v>0</v>
      </c>
      <c r="S25" s="6">
        <v>0</v>
      </c>
      <c r="T25" s="6">
        <v>0</v>
      </c>
      <c r="U25" s="6">
        <v>0</v>
      </c>
      <c r="V25" s="6">
        <v>0</v>
      </c>
      <c r="W25" s="6">
        <v>0</v>
      </c>
      <c r="X25" s="6">
        <v>0</v>
      </c>
      <c r="Y25" s="6">
        <v>0</v>
      </c>
    </row>
    <row r="26" spans="1:25" x14ac:dyDescent="0.25">
      <c r="A26" s="2" t="s">
        <v>152</v>
      </c>
      <c r="B26" s="2">
        <v>0</v>
      </c>
      <c r="C26" s="2">
        <v>0</v>
      </c>
      <c r="D26" s="2">
        <v>0</v>
      </c>
      <c r="E26" s="2">
        <v>0</v>
      </c>
      <c r="F26" s="2">
        <v>0</v>
      </c>
      <c r="G26" s="2">
        <v>1</v>
      </c>
      <c r="H26" s="2">
        <v>0</v>
      </c>
      <c r="I26" s="2">
        <v>0</v>
      </c>
      <c r="J26" s="2">
        <v>0</v>
      </c>
      <c r="K26" s="2">
        <v>0</v>
      </c>
      <c r="L26" s="2">
        <v>1</v>
      </c>
      <c r="M26" s="2">
        <v>1</v>
      </c>
      <c r="N26" s="2">
        <v>1</v>
      </c>
      <c r="O26" s="2">
        <v>0</v>
      </c>
      <c r="P26" s="2">
        <v>0</v>
      </c>
      <c r="Q26" s="2">
        <v>0</v>
      </c>
      <c r="R26" s="2">
        <v>0</v>
      </c>
      <c r="S26" s="2">
        <v>0</v>
      </c>
      <c r="T26" s="2">
        <v>0</v>
      </c>
      <c r="U26" s="2">
        <v>0</v>
      </c>
      <c r="V26" s="2">
        <v>0</v>
      </c>
      <c r="W26" s="2">
        <v>0</v>
      </c>
      <c r="X26" s="2">
        <v>0</v>
      </c>
      <c r="Y26" s="2">
        <v>0</v>
      </c>
    </row>
    <row r="27" spans="1:25" x14ac:dyDescent="0.25">
      <c r="A27" s="2" t="s">
        <v>163</v>
      </c>
      <c r="B27" s="2">
        <v>1665.0528846153845</v>
      </c>
      <c r="C27" s="2">
        <v>3298.390476190476</v>
      </c>
      <c r="D27" s="2">
        <v>2985.6120689655172</v>
      </c>
      <c r="E27" s="2">
        <v>3206.7685185185187</v>
      </c>
      <c r="F27" s="2">
        <v>4329.1374999999998</v>
      </c>
      <c r="G27" s="2">
        <v>6926.62</v>
      </c>
      <c r="H27" s="2">
        <v>3148.4636363636364</v>
      </c>
      <c r="I27" s="2">
        <v>5772.1833333333334</v>
      </c>
      <c r="J27" s="2">
        <v>3330.1057692307691</v>
      </c>
      <c r="K27" s="2">
        <v>3498.2929292929293</v>
      </c>
      <c r="L27" s="2">
        <v>6184.4821428571431</v>
      </c>
      <c r="M27" s="2">
        <v>1902.9175824175825</v>
      </c>
      <c r="N27" s="2">
        <v>3463.31</v>
      </c>
      <c r="O27" s="2">
        <v>1714.5099009900989</v>
      </c>
      <c r="P27" s="2">
        <v>2037.2411764705882</v>
      </c>
      <c r="Q27" s="2">
        <v>1967.7897727272727</v>
      </c>
      <c r="R27" s="2">
        <v>3267.2735849056603</v>
      </c>
      <c r="S27" s="2">
        <v>1603.3842592592594</v>
      </c>
      <c r="T27" s="2">
        <v>2527.9635036496352</v>
      </c>
      <c r="U27" s="2">
        <v>1657.0861244019138</v>
      </c>
      <c r="V27" s="2">
        <v>1402.1497975708503</v>
      </c>
      <c r="W27" s="2">
        <v>1842.186170212766</v>
      </c>
      <c r="X27" s="2">
        <v>1813.2513089005236</v>
      </c>
      <c r="Y27" s="2">
        <v>1567.1085972850678</v>
      </c>
    </row>
    <row r="28" spans="1:25" x14ac:dyDescent="0.25">
      <c r="A28" s="2" t="s">
        <v>164</v>
      </c>
      <c r="B28" s="2">
        <v>9.615384615384615</v>
      </c>
      <c r="C28" s="2">
        <v>19.047619047619047</v>
      </c>
      <c r="D28" s="2">
        <v>17.241379310344829</v>
      </c>
      <c r="E28" s="2">
        <v>18.518518518518519</v>
      </c>
      <c r="F28" s="2">
        <v>25</v>
      </c>
      <c r="G28" s="2">
        <v>40</v>
      </c>
      <c r="H28" s="2">
        <v>18.181818181818183</v>
      </c>
      <c r="I28" s="2">
        <v>33.333333333333336</v>
      </c>
      <c r="J28" s="2">
        <v>19.23076923076923</v>
      </c>
      <c r="K28" s="2">
        <v>20.202020202020201</v>
      </c>
      <c r="L28" s="2">
        <v>35.714285714285715</v>
      </c>
      <c r="M28" s="2">
        <v>10.989010989010989</v>
      </c>
      <c r="N28" s="2">
        <v>20</v>
      </c>
      <c r="O28" s="2">
        <v>9.9009900990099009</v>
      </c>
      <c r="P28" s="2">
        <v>11.764705882352942</v>
      </c>
      <c r="Q28" s="2">
        <v>11.363636363636363</v>
      </c>
      <c r="R28" s="2">
        <v>18.867924528301888</v>
      </c>
      <c r="S28" s="2">
        <v>9.2592592592592595</v>
      </c>
      <c r="T28" s="2">
        <v>14.598540145985401</v>
      </c>
      <c r="U28" s="2">
        <v>9.5693779904306222</v>
      </c>
      <c r="V28" s="2">
        <v>8.097165991902834</v>
      </c>
      <c r="W28" s="2">
        <v>10.638297872340425</v>
      </c>
      <c r="X28" s="2">
        <v>10.471204188481675</v>
      </c>
      <c r="Y28" s="2">
        <v>9.0497737556561084</v>
      </c>
    </row>
    <row r="29" spans="1:25" x14ac:dyDescent="0.25">
      <c r="A29" s="2" t="s">
        <v>165</v>
      </c>
      <c r="B29" s="2">
        <v>56.815905448717949</v>
      </c>
      <c r="C29" s="2">
        <v>112.54960317460318</v>
      </c>
      <c r="D29" s="2">
        <v>101.8767959770115</v>
      </c>
      <c r="E29" s="2">
        <v>109.42322530864197</v>
      </c>
      <c r="F29" s="2">
        <v>147.72135416666669</v>
      </c>
      <c r="G29" s="2">
        <v>236.35416666666669</v>
      </c>
      <c r="H29" s="2">
        <v>107.43371212121212</v>
      </c>
      <c r="I29" s="2">
        <v>196.96180555555557</v>
      </c>
      <c r="J29" s="2">
        <v>113.6318108974359</v>
      </c>
      <c r="K29" s="2">
        <v>119.37079124579125</v>
      </c>
      <c r="L29" s="2">
        <v>211.03050595238096</v>
      </c>
      <c r="M29" s="2">
        <v>64.932463369963372</v>
      </c>
      <c r="N29" s="2">
        <v>118.17708333333334</v>
      </c>
      <c r="O29" s="2">
        <v>58.503506600660067</v>
      </c>
      <c r="P29" s="2">
        <v>69.515931372549019</v>
      </c>
      <c r="Q29" s="2">
        <v>67.146070075757578</v>
      </c>
      <c r="R29" s="2">
        <v>111.48781446540882</v>
      </c>
      <c r="S29" s="2">
        <v>54.711612654320987</v>
      </c>
      <c r="T29" s="2">
        <v>86.260644768856451</v>
      </c>
      <c r="U29" s="2">
        <v>56.544059011164279</v>
      </c>
      <c r="V29" s="2">
        <v>47.844973009446697</v>
      </c>
      <c r="W29" s="2">
        <v>62.860150709219859</v>
      </c>
      <c r="X29" s="2">
        <v>61.872818499127405</v>
      </c>
      <c r="Y29" s="2">
        <v>53.473793363499247</v>
      </c>
    </row>
    <row r="30" spans="1:25" x14ac:dyDescent="0.25">
      <c r="A30" s="2" t="s">
        <v>166</v>
      </c>
      <c r="B30" s="2">
        <v>188.45410628019337</v>
      </c>
      <c r="C30" s="2">
        <v>237.142857142857</v>
      </c>
      <c r="D30" s="2">
        <v>234.39814814814821</v>
      </c>
      <c r="E30" s="2">
        <v>224.10000000000002</v>
      </c>
      <c r="F30" s="2">
        <v>238.62499999999997</v>
      </c>
      <c r="G30" s="2">
        <v>231.91176470588246</v>
      </c>
      <c r="H30" s="2">
        <v>128.59154929577446</v>
      </c>
      <c r="I30" s="2">
        <v>125.98214285714303</v>
      </c>
      <c r="J30" s="2">
        <v>90.78125</v>
      </c>
      <c r="K30" s="2">
        <v>149.67213114754099</v>
      </c>
      <c r="L30" s="2">
        <v>128.7931034482759</v>
      </c>
      <c r="M30" s="2">
        <v>89.096045197740054</v>
      </c>
      <c r="N30" s="2">
        <v>55.333333333333194</v>
      </c>
      <c r="O30" s="2">
        <v>126.30434782608715</v>
      </c>
      <c r="P30" s="2">
        <v>194.86956521739117</v>
      </c>
      <c r="Q30" s="2">
        <v>215.18518518518493</v>
      </c>
      <c r="R30" s="2">
        <v>136.6463414634147</v>
      </c>
      <c r="S30" s="2">
        <v>151.12716763005795</v>
      </c>
      <c r="T30" s="2">
        <v>137.02830188679243</v>
      </c>
      <c r="U30" s="2">
        <v>171.35483870967758</v>
      </c>
      <c r="V30" s="2">
        <v>131.63978494623666</v>
      </c>
      <c r="W30" s="2">
        <v>157.29838709677415</v>
      </c>
      <c r="X30" s="2">
        <v>170.88235294117649</v>
      </c>
      <c r="Y30" s="2">
        <v>164.96894409937909</v>
      </c>
    </row>
    <row r="31" spans="1:25" x14ac:dyDescent="0.25">
      <c r="A31" s="2" t="s">
        <v>167</v>
      </c>
      <c r="B31" s="2">
        <v>590.33649475159996</v>
      </c>
      <c r="C31" s="2">
        <v>787.14279886090492</v>
      </c>
      <c r="D31" s="2">
        <v>1077.1550926586308</v>
      </c>
      <c r="E31" s="2">
        <v>769.72216523013572</v>
      </c>
      <c r="F31" s="2">
        <v>939.37493044641337</v>
      </c>
      <c r="G31" s="2">
        <v>3401.9355490063408</v>
      </c>
      <c r="H31" s="2">
        <v>1268.2853851839991</v>
      </c>
      <c r="I31" s="2">
        <v>1545.4998855674592</v>
      </c>
      <c r="J31" s="2">
        <v>1472.3075832944862</v>
      </c>
      <c r="K31" s="2">
        <v>593.49389545021927</v>
      </c>
      <c r="L31" s="2">
        <v>1283.687231286892</v>
      </c>
      <c r="M31" s="2">
        <v>915.46487831946456</v>
      </c>
      <c r="N31" s="2">
        <v>2639.6998045502569</v>
      </c>
      <c r="O31" s="2">
        <v>634.77321973253254</v>
      </c>
      <c r="P31" s="2">
        <v>566.9999580179549</v>
      </c>
      <c r="Q31" s="2">
        <v>333.57952075551282</v>
      </c>
      <c r="R31" s="2">
        <v>738.113152895491</v>
      </c>
      <c r="S31" s="2">
        <v>493.74996344156131</v>
      </c>
      <c r="T31" s="2">
        <v>1109.5619616409754</v>
      </c>
      <c r="U31" s="2">
        <v>570.11048553884018</v>
      </c>
      <c r="V31" s="2">
        <v>712.34812539367772</v>
      </c>
      <c r="W31" s="2">
        <v>760.05313521319351</v>
      </c>
      <c r="X31" s="2">
        <v>667.85335369188738</v>
      </c>
      <c r="Y31" s="2">
        <v>901.76463911352312</v>
      </c>
    </row>
    <row r="32" spans="1:25" x14ac:dyDescent="0.25">
      <c r="A32" s="2" t="s">
        <v>168</v>
      </c>
      <c r="B32" s="2">
        <v>10.872015384615382</v>
      </c>
      <c r="C32" s="2">
        <v>15.42933333333333</v>
      </c>
      <c r="D32" s="2">
        <v>17.183875862068962</v>
      </c>
      <c r="E32" s="2">
        <v>20.74777777777777</v>
      </c>
      <c r="F32" s="2">
        <v>23.801499999999997</v>
      </c>
      <c r="G32" s="2">
        <v>92.786399999999972</v>
      </c>
      <c r="H32" s="2">
        <v>70.28507636363635</v>
      </c>
      <c r="I32" s="2">
        <v>14.201999999999998</v>
      </c>
      <c r="J32" s="2">
        <v>63.474038461538456</v>
      </c>
      <c r="K32" s="2">
        <v>11.949232323232319</v>
      </c>
      <c r="L32" s="2">
        <v>18.034285714285708</v>
      </c>
      <c r="M32" s="2">
        <v>31.682540659340653</v>
      </c>
      <c r="N32" s="2">
        <v>192.74743999999995</v>
      </c>
      <c r="O32" s="2">
        <v>32.393267326732669</v>
      </c>
      <c r="P32" s="2">
        <v>9.888799999999998</v>
      </c>
      <c r="Q32" s="2">
        <v>5.5666340909090897</v>
      </c>
      <c r="R32" s="2">
        <v>8.6234226415094319</v>
      </c>
      <c r="S32" s="2">
        <v>2.7274074074074068</v>
      </c>
      <c r="T32" s="2">
        <v>62.483424817518234</v>
      </c>
      <c r="U32" s="2">
        <v>4.6836650717703341</v>
      </c>
      <c r="V32" s="2">
        <v>19.466259109311739</v>
      </c>
      <c r="W32" s="2">
        <v>42.527659574468075</v>
      </c>
      <c r="X32" s="2">
        <v>62.878205235602081</v>
      </c>
      <c r="Y32" s="2">
        <v>11.294005429864251</v>
      </c>
    </row>
    <row r="33" spans="1:25" x14ac:dyDescent="0.25">
      <c r="A33" s="2" t="s">
        <v>169</v>
      </c>
      <c r="B33" s="2">
        <v>0</v>
      </c>
      <c r="C33" s="2">
        <v>0</v>
      </c>
      <c r="D33" s="2">
        <v>0</v>
      </c>
      <c r="E33" s="2">
        <v>0</v>
      </c>
      <c r="F33" s="2">
        <v>0</v>
      </c>
      <c r="G33" s="2">
        <v>0</v>
      </c>
      <c r="H33" s="2">
        <v>0</v>
      </c>
      <c r="I33" s="2">
        <v>0</v>
      </c>
      <c r="J33" s="2">
        <v>0</v>
      </c>
      <c r="K33" s="2">
        <v>0</v>
      </c>
      <c r="L33" s="2">
        <v>0</v>
      </c>
      <c r="M33" s="2">
        <v>0</v>
      </c>
      <c r="N33" s="2">
        <v>0</v>
      </c>
      <c r="O33" s="2">
        <v>0</v>
      </c>
      <c r="P33" s="2">
        <v>0</v>
      </c>
      <c r="Q33" s="2">
        <v>0</v>
      </c>
      <c r="R33" s="2">
        <v>0</v>
      </c>
      <c r="S33" s="2">
        <v>42.86574074074074</v>
      </c>
      <c r="T33" s="2">
        <v>0</v>
      </c>
      <c r="U33" s="2">
        <v>100.47846889952153</v>
      </c>
      <c r="V33" s="2">
        <v>0</v>
      </c>
      <c r="W33" s="2">
        <v>0</v>
      </c>
      <c r="X33" s="2">
        <v>0</v>
      </c>
      <c r="Y33" s="2">
        <v>0</v>
      </c>
    </row>
    <row r="34" spans="1:25" x14ac:dyDescent="0.25">
      <c r="A34" s="2" t="s">
        <v>170</v>
      </c>
      <c r="B34" s="2">
        <v>0</v>
      </c>
      <c r="C34" s="2">
        <v>0</v>
      </c>
      <c r="D34" s="2">
        <v>0</v>
      </c>
      <c r="E34" s="2">
        <v>0</v>
      </c>
      <c r="F34" s="2">
        <v>0</v>
      </c>
      <c r="G34" s="2">
        <v>0</v>
      </c>
      <c r="H34" s="2">
        <v>0</v>
      </c>
      <c r="I34" s="2">
        <v>0</v>
      </c>
      <c r="J34" s="2">
        <v>0</v>
      </c>
      <c r="K34" s="2">
        <v>0</v>
      </c>
      <c r="L34" s="2">
        <v>89.285714285714263</v>
      </c>
      <c r="M34" s="2">
        <v>0</v>
      </c>
      <c r="N34" s="2">
        <v>49.999999999999993</v>
      </c>
      <c r="O34" s="2">
        <v>24.75247524752475</v>
      </c>
      <c r="P34" s="2">
        <v>29.411764705882348</v>
      </c>
      <c r="Q34" s="2">
        <v>28.409090909090903</v>
      </c>
      <c r="R34" s="2">
        <v>47.169811320754711</v>
      </c>
      <c r="S34" s="2">
        <v>23.148148148148145</v>
      </c>
      <c r="T34" s="2">
        <v>36.496350364963497</v>
      </c>
      <c r="U34" s="2">
        <v>23.923444976076549</v>
      </c>
      <c r="V34" s="2">
        <v>20.242914979757082</v>
      </c>
      <c r="W34" s="2">
        <v>26.595744680851059</v>
      </c>
      <c r="X34" s="2">
        <v>0</v>
      </c>
      <c r="Y34" s="2">
        <v>22.624434389140266</v>
      </c>
    </row>
    <row r="35" spans="1:25" x14ac:dyDescent="0.25">
      <c r="A35" s="2" t="s">
        <v>171</v>
      </c>
      <c r="B35" s="2">
        <v>21.048076923076923</v>
      </c>
      <c r="C35" s="2">
        <v>0</v>
      </c>
      <c r="D35" s="2">
        <v>0</v>
      </c>
      <c r="E35" s="2">
        <v>0</v>
      </c>
      <c r="F35" s="2">
        <v>0</v>
      </c>
      <c r="G35" s="2">
        <v>0</v>
      </c>
      <c r="H35" s="2">
        <v>0</v>
      </c>
      <c r="I35" s="2">
        <v>0</v>
      </c>
      <c r="J35" s="2">
        <v>0</v>
      </c>
      <c r="K35" s="2">
        <v>0</v>
      </c>
      <c r="L35" s="2">
        <v>0</v>
      </c>
      <c r="M35" s="2">
        <v>0</v>
      </c>
      <c r="N35" s="2">
        <v>0</v>
      </c>
      <c r="O35" s="2">
        <v>21.673267326732674</v>
      </c>
      <c r="P35" s="2">
        <v>0</v>
      </c>
      <c r="Q35" s="2">
        <v>0</v>
      </c>
      <c r="R35" s="2">
        <v>0</v>
      </c>
      <c r="S35" s="2">
        <v>0</v>
      </c>
      <c r="T35" s="2">
        <v>31.956204379562045</v>
      </c>
      <c r="U35" s="2">
        <v>20.94736842105263</v>
      </c>
      <c r="V35" s="2">
        <v>17.724696356275302</v>
      </c>
      <c r="W35" s="2">
        <v>23.287234042553191</v>
      </c>
      <c r="X35" s="2">
        <v>0</v>
      </c>
      <c r="Y35" s="2">
        <v>0</v>
      </c>
    </row>
    <row r="36" spans="1:25" x14ac:dyDescent="0.25">
      <c r="A36" s="2" t="s">
        <v>172</v>
      </c>
      <c r="B36" s="2">
        <v>0</v>
      </c>
      <c r="C36" s="2">
        <v>0</v>
      </c>
      <c r="D36" s="2">
        <v>0</v>
      </c>
      <c r="E36" s="2">
        <v>0</v>
      </c>
      <c r="F36" s="2">
        <v>0</v>
      </c>
      <c r="G36" s="2">
        <v>0</v>
      </c>
      <c r="H36" s="2">
        <v>349.33636363636361</v>
      </c>
      <c r="I36" s="2">
        <v>0</v>
      </c>
      <c r="J36" s="2">
        <v>0</v>
      </c>
      <c r="K36" s="2">
        <v>0</v>
      </c>
      <c r="L36" s="2">
        <v>0</v>
      </c>
      <c r="M36" s="2">
        <v>211.13736263736263</v>
      </c>
      <c r="N36" s="2">
        <v>0</v>
      </c>
      <c r="O36" s="2">
        <v>0</v>
      </c>
      <c r="P36" s="2">
        <v>0</v>
      </c>
      <c r="Q36" s="2">
        <v>0</v>
      </c>
      <c r="R36" s="2">
        <v>0</v>
      </c>
      <c r="S36" s="2">
        <v>177.90277777777777</v>
      </c>
      <c r="T36" s="2">
        <v>0</v>
      </c>
      <c r="U36" s="2">
        <v>0</v>
      </c>
      <c r="V36" s="2">
        <v>0</v>
      </c>
      <c r="W36" s="2">
        <v>0</v>
      </c>
      <c r="X36" s="2">
        <v>201.18848167539267</v>
      </c>
      <c r="Y36" s="2">
        <v>0</v>
      </c>
    </row>
    <row r="37" spans="1:25" x14ac:dyDescent="0.25">
      <c r="A37" s="2" t="s">
        <v>173</v>
      </c>
      <c r="B37" s="2">
        <v>0</v>
      </c>
      <c r="C37" s="2">
        <v>0</v>
      </c>
      <c r="D37" s="2">
        <v>0</v>
      </c>
      <c r="E37" s="2">
        <v>0</v>
      </c>
      <c r="F37" s="2">
        <v>0</v>
      </c>
      <c r="G37" s="2">
        <v>1663.424248927982</v>
      </c>
      <c r="H37" s="2">
        <v>1663.424248927982</v>
      </c>
      <c r="I37" s="2">
        <v>0</v>
      </c>
      <c r="J37" s="2">
        <v>0</v>
      </c>
      <c r="K37" s="2">
        <v>0</v>
      </c>
      <c r="L37" s="2">
        <v>0</v>
      </c>
      <c r="M37" s="2">
        <v>1232.9370356951024</v>
      </c>
      <c r="N37" s="2">
        <v>0</v>
      </c>
      <c r="O37" s="2">
        <v>0</v>
      </c>
      <c r="P37" s="2">
        <v>0</v>
      </c>
      <c r="Q37" s="2">
        <v>0</v>
      </c>
      <c r="R37" s="2">
        <v>0</v>
      </c>
      <c r="S37" s="2">
        <v>0</v>
      </c>
      <c r="T37" s="2">
        <v>0</v>
      </c>
      <c r="U37" s="2">
        <v>0</v>
      </c>
      <c r="V37" s="2">
        <v>0</v>
      </c>
      <c r="W37" s="2">
        <v>0</v>
      </c>
      <c r="X37" s="2">
        <v>0</v>
      </c>
      <c r="Y37" s="2">
        <v>0</v>
      </c>
    </row>
    <row r="38" spans="1:25" x14ac:dyDescent="0.25">
      <c r="A38" s="2" t="s">
        <v>174</v>
      </c>
      <c r="B38" s="2">
        <v>0</v>
      </c>
      <c r="C38" s="2">
        <v>0</v>
      </c>
      <c r="D38" s="2">
        <v>0</v>
      </c>
      <c r="E38" s="2">
        <v>0</v>
      </c>
      <c r="F38" s="2">
        <v>0</v>
      </c>
      <c r="G38" s="2">
        <v>0</v>
      </c>
      <c r="H38" s="2">
        <v>0</v>
      </c>
      <c r="I38" s="2">
        <v>0</v>
      </c>
      <c r="J38" s="2">
        <v>0</v>
      </c>
      <c r="K38" s="2">
        <v>0</v>
      </c>
      <c r="L38" s="2">
        <v>2751.8800473523893</v>
      </c>
      <c r="M38" s="2">
        <v>0</v>
      </c>
      <c r="N38" s="2">
        <v>2452.1533981946072</v>
      </c>
      <c r="O38" s="2">
        <v>0</v>
      </c>
      <c r="P38" s="2">
        <v>0</v>
      </c>
      <c r="Q38" s="2">
        <v>0</v>
      </c>
      <c r="R38" s="2">
        <v>0</v>
      </c>
      <c r="S38" s="2">
        <v>0</v>
      </c>
      <c r="T38" s="2">
        <v>0</v>
      </c>
      <c r="U38" s="2">
        <v>0</v>
      </c>
      <c r="V38" s="2">
        <v>0</v>
      </c>
      <c r="W38" s="2">
        <v>0</v>
      </c>
      <c r="X38" s="2">
        <v>0</v>
      </c>
      <c r="Y38" s="2">
        <v>0</v>
      </c>
    </row>
    <row r="39" spans="1:25" x14ac:dyDescent="0.25">
      <c r="A39" s="2" t="s">
        <v>175</v>
      </c>
      <c r="B39" s="2">
        <v>0</v>
      </c>
      <c r="C39" s="2">
        <v>0</v>
      </c>
      <c r="D39" s="2">
        <v>0</v>
      </c>
      <c r="E39" s="2">
        <v>0</v>
      </c>
      <c r="F39" s="2">
        <v>0</v>
      </c>
      <c r="G39" s="2">
        <v>8601.3157894736851</v>
      </c>
      <c r="H39" s="2">
        <v>8601.3157894736851</v>
      </c>
      <c r="I39" s="2">
        <v>0</v>
      </c>
      <c r="J39" s="2">
        <v>0</v>
      </c>
      <c r="K39" s="2">
        <v>0</v>
      </c>
      <c r="L39" s="2">
        <v>4669.2857142857147</v>
      </c>
      <c r="M39" s="2">
        <v>8171.25</v>
      </c>
      <c r="N39" s="2">
        <v>3204.4117647058824</v>
      </c>
      <c r="O39" s="2">
        <v>0</v>
      </c>
      <c r="P39" s="2">
        <v>0</v>
      </c>
      <c r="Q39" s="2">
        <v>0</v>
      </c>
      <c r="R39" s="2">
        <v>0</v>
      </c>
      <c r="S39" s="2">
        <v>0</v>
      </c>
      <c r="T39" s="2">
        <v>0</v>
      </c>
      <c r="U39" s="2">
        <v>0</v>
      </c>
      <c r="V39" s="2">
        <v>0</v>
      </c>
      <c r="W39" s="2">
        <v>0</v>
      </c>
      <c r="X39" s="2">
        <v>0</v>
      </c>
      <c r="Y39" s="2">
        <v>0</v>
      </c>
    </row>
    <row r="40" spans="1:25" s="5" customFormat="1" x14ac:dyDescent="0.25">
      <c r="A40" s="2" t="s">
        <v>124</v>
      </c>
      <c r="B40" s="2">
        <v>0</v>
      </c>
      <c r="C40" s="2">
        <v>0</v>
      </c>
      <c r="D40" s="2">
        <v>0</v>
      </c>
      <c r="E40" s="2">
        <v>0</v>
      </c>
      <c r="F40" s="2">
        <v>0</v>
      </c>
      <c r="G40" s="2">
        <v>0</v>
      </c>
      <c r="H40" s="2">
        <v>0</v>
      </c>
      <c r="I40" s="2">
        <v>0</v>
      </c>
      <c r="J40" s="2">
        <v>0</v>
      </c>
      <c r="K40" s="2">
        <v>0</v>
      </c>
      <c r="L40" s="2">
        <v>0</v>
      </c>
      <c r="M40" s="2">
        <v>0</v>
      </c>
      <c r="N40" s="2">
        <v>0</v>
      </c>
      <c r="O40" s="2">
        <v>1</v>
      </c>
      <c r="P40" s="2">
        <v>1</v>
      </c>
      <c r="Q40" s="2">
        <v>0</v>
      </c>
      <c r="R40" s="2">
        <v>1</v>
      </c>
      <c r="S40" s="2">
        <v>0</v>
      </c>
      <c r="T40" s="2">
        <v>1</v>
      </c>
      <c r="U40" s="2">
        <v>1</v>
      </c>
      <c r="V40" s="2">
        <v>2</v>
      </c>
      <c r="W40" s="2">
        <v>1</v>
      </c>
      <c r="X40" s="2">
        <v>0</v>
      </c>
      <c r="Y40" s="2">
        <v>1</v>
      </c>
    </row>
    <row r="41" spans="1:25" s="5" customFormat="1" x14ac:dyDescent="0.25">
      <c r="A41" s="2" t="s">
        <v>176</v>
      </c>
      <c r="B41" s="7">
        <v>11670.201785459836</v>
      </c>
      <c r="C41" s="7">
        <v>13597.711785459836</v>
      </c>
      <c r="D41" s="7">
        <v>13748.779978052888</v>
      </c>
      <c r="E41" s="7">
        <v>13477.291785459836</v>
      </c>
      <c r="F41" s="7">
        <v>14831.671785459836</v>
      </c>
      <c r="G41" s="7">
        <v>20288.771785459834</v>
      </c>
      <c r="H41" s="7">
        <v>14218.58640646493</v>
      </c>
      <c r="I41" s="7">
        <v>16816.171785459836</v>
      </c>
      <c r="J41" s="7">
        <v>14217.539103709065</v>
      </c>
      <c r="K41" s="7">
        <v>13520.991785459835</v>
      </c>
      <c r="L41" s="7">
        <v>17078.921785459836</v>
      </c>
      <c r="M41" s="7">
        <v>12354.231785459835</v>
      </c>
      <c r="N41" s="7">
        <v>15859.895588602081</v>
      </c>
      <c r="O41" s="7">
        <v>11750.821785459835</v>
      </c>
      <c r="P41" s="7">
        <v>12047.701785459836</v>
      </c>
      <c r="Q41" s="7">
        <v>11757.049165410092</v>
      </c>
      <c r="R41" s="7">
        <v>13456.187030616513</v>
      </c>
      <c r="S41" s="7">
        <v>11686.886911187599</v>
      </c>
      <c r="T41" s="7">
        <v>13134.356726506723</v>
      </c>
      <c r="U41" s="7">
        <v>11742.701785459836</v>
      </c>
      <c r="V41" s="7">
        <v>11657.201785459836</v>
      </c>
      <c r="W41" s="7">
        <v>12053.451785459836</v>
      </c>
      <c r="X41" s="7">
        <v>12116.401785459835</v>
      </c>
      <c r="Y41" s="7">
        <v>11858.291785459836</v>
      </c>
    </row>
    <row r="42" spans="1:25" s="5" customFormat="1" x14ac:dyDescent="0.25">
      <c r="A42" s="2" t="s">
        <v>177</v>
      </c>
      <c r="B42" s="7">
        <v>13944.834905081594</v>
      </c>
      <c r="C42" s="7">
        <v>15753.932435174498</v>
      </c>
      <c r="D42" s="7">
        <v>15940.166410601933</v>
      </c>
      <c r="E42" s="7">
        <v>15719.044261841433</v>
      </c>
      <c r="F42" s="7">
        <v>17031.756705260104</v>
      </c>
      <c r="G42" s="7">
        <v>22246.627278410244</v>
      </c>
      <c r="H42" s="7">
        <v>19062.917812665706</v>
      </c>
      <c r="I42" s="7">
        <v>21660.501273278107</v>
      </c>
      <c r="J42" s="7">
        <v>16129.395379032827</v>
      </c>
      <c r="K42" s="7">
        <v>15432.84435898326</v>
      </c>
      <c r="L42" s="7">
        <v>18990.774358983261</v>
      </c>
      <c r="M42" s="7">
        <v>14266.08435898326</v>
      </c>
      <c r="N42" s="7">
        <v>17817.744358983262</v>
      </c>
      <c r="O42" s="7">
        <v>13662.67435898326</v>
      </c>
      <c r="P42" s="7">
        <v>13959.554358983261</v>
      </c>
      <c r="Q42" s="7">
        <v>13668.90435898326</v>
      </c>
      <c r="R42" s="7">
        <v>15368.044358983261</v>
      </c>
      <c r="S42" s="7">
        <v>13598.740667734706</v>
      </c>
      <c r="T42" s="7">
        <v>15046.214358983261</v>
      </c>
      <c r="U42" s="7">
        <v>13654.554358983261</v>
      </c>
      <c r="V42" s="7">
        <v>13615.044358983261</v>
      </c>
      <c r="W42" s="7">
        <v>13965.304358983261</v>
      </c>
      <c r="X42" s="7">
        <v>14028.25435898326</v>
      </c>
      <c r="Y42" s="7">
        <v>13770.144358983262</v>
      </c>
    </row>
    <row r="43" spans="1:25" s="5" customFormat="1" x14ac:dyDescent="0.25">
      <c r="A43" s="2" t="s">
        <v>178</v>
      </c>
      <c r="B43" s="7">
        <v>15538.042039115304</v>
      </c>
      <c r="C43" s="7">
        <v>17465.552039115304</v>
      </c>
      <c r="D43" s="7">
        <v>17691.542039115302</v>
      </c>
      <c r="E43" s="7">
        <v>17345.132039115302</v>
      </c>
      <c r="F43" s="7">
        <v>18699.512039115303</v>
      </c>
      <c r="G43" s="7">
        <v>24231.542039115302</v>
      </c>
      <c r="H43" s="7">
        <v>18086.421871140548</v>
      </c>
      <c r="I43" s="7">
        <v>20684.012039115303</v>
      </c>
      <c r="J43" s="7">
        <v>18085.374568384683</v>
      </c>
      <c r="K43" s="7">
        <v>17388.832039115303</v>
      </c>
      <c r="L43" s="7">
        <v>20946.762039115303</v>
      </c>
      <c r="M43" s="7">
        <v>16222.072039115303</v>
      </c>
      <c r="N43" s="7">
        <v>19802.657276038073</v>
      </c>
      <c r="O43" s="7">
        <v>15618.662039115303</v>
      </c>
      <c r="P43" s="7">
        <v>15915.542039115304</v>
      </c>
      <c r="Q43" s="7">
        <v>15624.892039115302</v>
      </c>
      <c r="R43" s="7">
        <v>17324.032495292122</v>
      </c>
      <c r="S43" s="7">
        <v>15554.722375863214</v>
      </c>
      <c r="T43" s="7">
        <v>17002.192191182334</v>
      </c>
      <c r="U43" s="7">
        <v>15610.542039115304</v>
      </c>
      <c r="V43" s="7">
        <v>15599.972039115302</v>
      </c>
      <c r="W43" s="7">
        <v>15921.292039115304</v>
      </c>
      <c r="X43" s="7">
        <v>15984.242039115303</v>
      </c>
      <c r="Y43" s="7">
        <v>15726.132039115304</v>
      </c>
    </row>
    <row r="44" spans="1:25" s="5" customFormat="1" x14ac:dyDescent="0.25">
      <c r="A44" s="2" t="s">
        <v>179</v>
      </c>
      <c r="B44" s="7">
        <v>21983.77374813877</v>
      </c>
      <c r="C44" s="7">
        <v>23911.283748138772</v>
      </c>
      <c r="D44" s="7">
        <v>24262.063748138771</v>
      </c>
      <c r="E44" s="7">
        <v>23790.86374813877</v>
      </c>
      <c r="F44" s="7">
        <v>25145.243748138771</v>
      </c>
      <c r="G44" s="7">
        <v>30802.063748138771</v>
      </c>
      <c r="H44" s="7">
        <v>24532.156320859489</v>
      </c>
      <c r="I44" s="7">
        <v>27129.743748138771</v>
      </c>
      <c r="J44" s="7">
        <v>24531.10901810362</v>
      </c>
      <c r="K44" s="7">
        <v>23834.563748138771</v>
      </c>
      <c r="L44" s="7">
        <v>27392.493748138771</v>
      </c>
      <c r="M44" s="7">
        <v>22667.803748138773</v>
      </c>
      <c r="N44" s="7">
        <v>26373.180108979715</v>
      </c>
      <c r="O44" s="7">
        <v>22064.393748138773</v>
      </c>
      <c r="P44" s="7">
        <v>22361.27374813877</v>
      </c>
      <c r="Q44" s="7">
        <v>22070.623748138772</v>
      </c>
      <c r="R44" s="7">
        <v>23769.763748138772</v>
      </c>
      <c r="S44" s="7">
        <v>22000.453748138771</v>
      </c>
      <c r="T44" s="7">
        <v>23447.93374813877</v>
      </c>
      <c r="U44" s="7">
        <v>22056.27374813877</v>
      </c>
      <c r="V44" s="7">
        <v>22170.493748138771</v>
      </c>
      <c r="W44" s="7">
        <v>22367.02374813877</v>
      </c>
      <c r="X44" s="7">
        <v>22429.973748138771</v>
      </c>
      <c r="Y44" s="7">
        <v>22171.86374813877</v>
      </c>
    </row>
    <row r="45" spans="1:25" s="5" customFormat="1" x14ac:dyDescent="0.25">
      <c r="A45" s="2" t="s">
        <v>180</v>
      </c>
      <c r="B45" s="7">
        <v>17492.023578043056</v>
      </c>
      <c r="C45" s="7">
        <v>19419.533578043058</v>
      </c>
      <c r="D45" s="7">
        <v>19689.103578043057</v>
      </c>
      <c r="E45" s="7">
        <v>19299.113578043056</v>
      </c>
      <c r="F45" s="7">
        <v>20653.493578043057</v>
      </c>
      <c r="G45" s="7">
        <v>26952.146645354682</v>
      </c>
      <c r="H45" s="7">
        <v>20040.40746102632</v>
      </c>
      <c r="I45" s="7">
        <v>22637.993578043057</v>
      </c>
      <c r="J45" s="7">
        <v>20749.229632632021</v>
      </c>
      <c r="K45" s="7">
        <v>20052.686645354683</v>
      </c>
      <c r="L45" s="7">
        <v>29999.474251159289</v>
      </c>
      <c r="M45" s="7">
        <v>18885.926645354681</v>
      </c>
      <c r="N45" s="7">
        <v>21800.223578043056</v>
      </c>
      <c r="O45" s="7">
        <v>18282.516645354681</v>
      </c>
      <c r="P45" s="7">
        <v>18579.396645354682</v>
      </c>
      <c r="Q45" s="7">
        <v>18288.746645354684</v>
      </c>
      <c r="R45" s="7">
        <v>19987.886645354683</v>
      </c>
      <c r="S45" s="7">
        <v>18218.581780008793</v>
      </c>
      <c r="T45" s="7">
        <v>19666.056645354682</v>
      </c>
      <c r="U45" s="7">
        <v>18274.396645354682</v>
      </c>
      <c r="V45" s="7">
        <v>18320.566645354684</v>
      </c>
      <c r="W45" s="7">
        <v>18585.146645354682</v>
      </c>
      <c r="X45" s="7">
        <v>18648.096645354683</v>
      </c>
      <c r="Y45" s="7">
        <v>18389.986645354682</v>
      </c>
    </row>
    <row r="46" spans="1:25" s="5" customFormat="1" x14ac:dyDescent="0.25">
      <c r="A46" s="2" t="s">
        <v>181</v>
      </c>
      <c r="B46" s="7">
        <v>0</v>
      </c>
      <c r="C46" s="7">
        <v>0</v>
      </c>
      <c r="D46" s="7">
        <v>0</v>
      </c>
      <c r="E46" s="7">
        <v>0</v>
      </c>
      <c r="F46" s="7">
        <v>0</v>
      </c>
      <c r="G46" s="7">
        <v>52214.26</v>
      </c>
      <c r="H46" s="7">
        <v>0</v>
      </c>
      <c r="I46" s="7">
        <v>0</v>
      </c>
      <c r="J46" s="7">
        <v>0</v>
      </c>
      <c r="K46" s="7">
        <v>0</v>
      </c>
      <c r="L46" s="7">
        <v>52063.409999999996</v>
      </c>
      <c r="M46" s="7">
        <v>42710.39</v>
      </c>
      <c r="N46" s="7">
        <v>53683.01</v>
      </c>
      <c r="O46" s="7">
        <v>0</v>
      </c>
      <c r="P46" s="7">
        <v>0</v>
      </c>
      <c r="Q46" s="7">
        <v>0</v>
      </c>
      <c r="R46" s="7">
        <v>0</v>
      </c>
      <c r="S46" s="7">
        <v>0</v>
      </c>
      <c r="T46" s="7">
        <v>0</v>
      </c>
      <c r="U46" s="7">
        <v>0</v>
      </c>
      <c r="V46" s="7">
        <v>0</v>
      </c>
      <c r="W46" s="7">
        <v>0</v>
      </c>
      <c r="X46" s="7">
        <v>0</v>
      </c>
      <c r="Y46" s="7">
        <v>0</v>
      </c>
    </row>
    <row r="47" spans="1:25" s="5" customFormat="1" x14ac:dyDescent="0.25">
      <c r="A47" s="2" t="s">
        <v>182</v>
      </c>
      <c r="B47" s="7">
        <v>0</v>
      </c>
      <c r="C47" s="7">
        <v>0</v>
      </c>
      <c r="D47" s="7">
        <v>0</v>
      </c>
      <c r="E47" s="7">
        <v>0</v>
      </c>
      <c r="F47" s="7">
        <v>0</v>
      </c>
      <c r="G47" s="7">
        <v>54172.129769560706</v>
      </c>
      <c r="H47" s="7">
        <v>0</v>
      </c>
      <c r="I47" s="7">
        <v>0</v>
      </c>
      <c r="J47" s="7">
        <v>0</v>
      </c>
      <c r="K47" s="7">
        <v>0</v>
      </c>
      <c r="L47" s="7">
        <v>53975.557778720759</v>
      </c>
      <c r="M47" s="7">
        <v>44622.240000000005</v>
      </c>
      <c r="N47" s="7">
        <v>55640.86</v>
      </c>
      <c r="O47" s="7">
        <v>0</v>
      </c>
      <c r="P47" s="7">
        <v>0</v>
      </c>
      <c r="Q47" s="7">
        <v>0</v>
      </c>
      <c r="R47" s="7">
        <v>0</v>
      </c>
      <c r="S47" s="7">
        <v>0</v>
      </c>
      <c r="T47" s="7">
        <v>0</v>
      </c>
      <c r="U47" s="7">
        <v>0</v>
      </c>
      <c r="V47" s="7">
        <v>0</v>
      </c>
      <c r="W47" s="7">
        <v>0</v>
      </c>
      <c r="X47" s="7">
        <v>0</v>
      </c>
      <c r="Y47" s="7">
        <v>0</v>
      </c>
    </row>
    <row r="48" spans="1:25" s="5" customFormat="1" x14ac:dyDescent="0.25">
      <c r="A48" s="2" t="s">
        <v>183</v>
      </c>
      <c r="B48" s="7">
        <v>0</v>
      </c>
      <c r="C48" s="7">
        <v>0</v>
      </c>
      <c r="D48" s="7">
        <v>0</v>
      </c>
      <c r="E48" s="7">
        <v>0</v>
      </c>
      <c r="F48" s="7">
        <v>0</v>
      </c>
      <c r="G48" s="7">
        <v>56157.030000000006</v>
      </c>
      <c r="H48" s="7">
        <v>0</v>
      </c>
      <c r="I48" s="7">
        <v>0</v>
      </c>
      <c r="J48" s="7">
        <v>0</v>
      </c>
      <c r="K48" s="7">
        <v>0</v>
      </c>
      <c r="L48" s="7">
        <v>55931.25</v>
      </c>
      <c r="M48" s="7">
        <v>46578.23</v>
      </c>
      <c r="N48" s="7">
        <v>57625.78</v>
      </c>
      <c r="O48" s="7">
        <v>0</v>
      </c>
      <c r="P48" s="7">
        <v>0</v>
      </c>
      <c r="Q48" s="7">
        <v>0</v>
      </c>
      <c r="R48" s="7">
        <v>0</v>
      </c>
      <c r="S48" s="7">
        <v>0</v>
      </c>
      <c r="T48" s="7">
        <v>0</v>
      </c>
      <c r="U48" s="7">
        <v>0</v>
      </c>
      <c r="V48" s="7">
        <v>0</v>
      </c>
      <c r="W48" s="7">
        <v>0</v>
      </c>
      <c r="X48" s="7">
        <v>0</v>
      </c>
      <c r="Y48" s="7">
        <v>0</v>
      </c>
    </row>
    <row r="49" spans="1:25" s="5" customFormat="1" x14ac:dyDescent="0.25">
      <c r="A49" s="2" t="s">
        <v>184</v>
      </c>
      <c r="B49" s="7">
        <v>0</v>
      </c>
      <c r="C49" s="7">
        <v>0</v>
      </c>
      <c r="D49" s="7">
        <v>0</v>
      </c>
      <c r="E49" s="7">
        <v>0</v>
      </c>
      <c r="F49" s="7">
        <v>0</v>
      </c>
      <c r="G49" s="7">
        <v>62727.549999999996</v>
      </c>
      <c r="H49" s="7">
        <v>0</v>
      </c>
      <c r="I49" s="7">
        <v>0</v>
      </c>
      <c r="J49" s="7">
        <v>0</v>
      </c>
      <c r="K49" s="7">
        <v>0</v>
      </c>
      <c r="L49" s="7">
        <v>62376.99</v>
      </c>
      <c r="M49" s="7">
        <v>53023.96</v>
      </c>
      <c r="N49" s="7">
        <v>64196.298316568595</v>
      </c>
      <c r="O49" s="7">
        <v>0</v>
      </c>
      <c r="P49" s="7">
        <v>0</v>
      </c>
      <c r="Q49" s="7">
        <v>0</v>
      </c>
      <c r="R49" s="7">
        <v>0</v>
      </c>
      <c r="S49" s="7">
        <v>0</v>
      </c>
      <c r="T49" s="7">
        <v>0</v>
      </c>
      <c r="U49" s="7">
        <v>0</v>
      </c>
      <c r="V49" s="7">
        <v>0</v>
      </c>
      <c r="W49" s="7">
        <v>0</v>
      </c>
      <c r="X49" s="7">
        <v>0</v>
      </c>
      <c r="Y49" s="7">
        <v>0</v>
      </c>
    </row>
    <row r="50" spans="1:25" s="5" customFormat="1" x14ac:dyDescent="0.25">
      <c r="A50" s="2" t="s">
        <v>185</v>
      </c>
      <c r="B50" s="7">
        <v>0</v>
      </c>
      <c r="C50" s="7">
        <v>0</v>
      </c>
      <c r="D50" s="7">
        <v>0</v>
      </c>
      <c r="E50" s="7">
        <v>0</v>
      </c>
      <c r="F50" s="7">
        <v>0</v>
      </c>
      <c r="G50" s="7">
        <v>58877.652055932122</v>
      </c>
      <c r="H50" s="7">
        <v>0</v>
      </c>
      <c r="I50" s="7">
        <v>0</v>
      </c>
      <c r="J50" s="7">
        <v>0</v>
      </c>
      <c r="K50" s="7">
        <v>0</v>
      </c>
      <c r="L50" s="7">
        <v>64984.25767089679</v>
      </c>
      <c r="M50" s="7">
        <v>49242.101712880889</v>
      </c>
      <c r="N50" s="7">
        <v>59623.34</v>
      </c>
      <c r="O50" s="7">
        <v>0</v>
      </c>
      <c r="P50" s="7">
        <v>0</v>
      </c>
      <c r="Q50" s="7">
        <v>0</v>
      </c>
      <c r="R50" s="7">
        <v>0</v>
      </c>
      <c r="S50" s="7">
        <v>0</v>
      </c>
      <c r="T50" s="7">
        <v>0</v>
      </c>
      <c r="U50" s="7">
        <v>0</v>
      </c>
      <c r="V50" s="7">
        <v>0</v>
      </c>
      <c r="W50" s="7">
        <v>0</v>
      </c>
      <c r="X50" s="7">
        <v>0</v>
      </c>
      <c r="Y50" s="7">
        <v>0</v>
      </c>
    </row>
    <row r="51" spans="1:25" s="5" customFormat="1" x14ac:dyDescent="0.25">
      <c r="A51" s="2" t="s">
        <v>186</v>
      </c>
      <c r="B51" s="7">
        <v>0</v>
      </c>
      <c r="C51" s="7">
        <v>0</v>
      </c>
      <c r="D51" s="7">
        <v>0</v>
      </c>
      <c r="E51" s="7">
        <v>0</v>
      </c>
      <c r="F51" s="7">
        <v>0</v>
      </c>
      <c r="G51" s="7">
        <v>0</v>
      </c>
      <c r="H51" s="7">
        <v>0</v>
      </c>
      <c r="I51" s="7">
        <v>0</v>
      </c>
      <c r="J51" s="7">
        <v>0</v>
      </c>
      <c r="K51" s="7">
        <v>0</v>
      </c>
      <c r="L51" s="7">
        <v>69213.8</v>
      </c>
      <c r="M51" s="7">
        <v>0</v>
      </c>
      <c r="N51" s="7">
        <v>77441.290000000008</v>
      </c>
      <c r="O51" s="7">
        <v>0</v>
      </c>
      <c r="P51" s="7">
        <v>0</v>
      </c>
      <c r="Q51" s="7">
        <v>0</v>
      </c>
      <c r="R51" s="7">
        <v>0</v>
      </c>
      <c r="S51" s="7">
        <v>0</v>
      </c>
      <c r="T51" s="7">
        <v>0</v>
      </c>
      <c r="U51" s="7">
        <v>0</v>
      </c>
      <c r="V51" s="7">
        <v>0</v>
      </c>
      <c r="W51" s="7">
        <v>0</v>
      </c>
      <c r="X51" s="7">
        <v>0</v>
      </c>
      <c r="Y51" s="7">
        <v>0</v>
      </c>
    </row>
    <row r="52" spans="1:25" s="5" customFormat="1" x14ac:dyDescent="0.25">
      <c r="A52" s="2" t="s">
        <v>187</v>
      </c>
      <c r="B52" s="7">
        <v>0</v>
      </c>
      <c r="C52" s="7">
        <v>0</v>
      </c>
      <c r="D52" s="7">
        <v>0</v>
      </c>
      <c r="E52" s="7">
        <v>0</v>
      </c>
      <c r="F52" s="7">
        <v>0</v>
      </c>
      <c r="G52" s="7">
        <v>0</v>
      </c>
      <c r="H52" s="7">
        <v>0</v>
      </c>
      <c r="I52" s="7">
        <v>0</v>
      </c>
      <c r="J52" s="7">
        <v>0</v>
      </c>
      <c r="K52" s="7">
        <v>0</v>
      </c>
      <c r="L52" s="7">
        <v>71125.66</v>
      </c>
      <c r="M52" s="7">
        <v>0</v>
      </c>
      <c r="N52" s="7">
        <v>79399.14</v>
      </c>
      <c r="O52" s="7">
        <v>0</v>
      </c>
      <c r="P52" s="7">
        <v>0</v>
      </c>
      <c r="Q52" s="7">
        <v>0</v>
      </c>
      <c r="R52" s="7">
        <v>0</v>
      </c>
      <c r="S52" s="7">
        <v>0</v>
      </c>
      <c r="T52" s="7">
        <v>0</v>
      </c>
      <c r="U52" s="7">
        <v>0</v>
      </c>
      <c r="V52" s="7">
        <v>0</v>
      </c>
      <c r="W52" s="7">
        <v>0</v>
      </c>
      <c r="X52" s="7">
        <v>0</v>
      </c>
      <c r="Y52" s="7">
        <v>0</v>
      </c>
    </row>
    <row r="53" spans="1:25" s="5" customFormat="1" x14ac:dyDescent="0.25">
      <c r="A53" s="2" t="s">
        <v>188</v>
      </c>
      <c r="B53" s="7">
        <v>0</v>
      </c>
      <c r="C53" s="7">
        <v>0</v>
      </c>
      <c r="D53" s="7">
        <v>0</v>
      </c>
      <c r="E53" s="7">
        <v>0</v>
      </c>
      <c r="F53" s="7">
        <v>0</v>
      </c>
      <c r="G53" s="7">
        <v>0</v>
      </c>
      <c r="H53" s="7">
        <v>0</v>
      </c>
      <c r="I53" s="7">
        <v>0</v>
      </c>
      <c r="J53" s="7">
        <v>0</v>
      </c>
      <c r="K53" s="7">
        <v>0</v>
      </c>
      <c r="L53" s="7">
        <v>73081.640000000014</v>
      </c>
      <c r="M53" s="7">
        <v>0</v>
      </c>
      <c r="N53" s="7">
        <v>81384.06</v>
      </c>
      <c r="O53" s="7">
        <v>0</v>
      </c>
      <c r="P53" s="7">
        <v>0</v>
      </c>
      <c r="Q53" s="7">
        <v>0</v>
      </c>
      <c r="R53" s="7">
        <v>0</v>
      </c>
      <c r="S53" s="7">
        <v>0</v>
      </c>
      <c r="T53" s="7">
        <v>0</v>
      </c>
      <c r="U53" s="7">
        <v>0</v>
      </c>
      <c r="V53" s="7">
        <v>0</v>
      </c>
      <c r="W53" s="7">
        <v>0</v>
      </c>
      <c r="X53" s="7">
        <v>0</v>
      </c>
      <c r="Y53" s="7">
        <v>0</v>
      </c>
    </row>
    <row r="54" spans="1:25" s="5" customFormat="1" x14ac:dyDescent="0.25">
      <c r="A54" s="2" t="s">
        <v>189</v>
      </c>
      <c r="B54" s="7">
        <v>0</v>
      </c>
      <c r="C54" s="7">
        <v>0</v>
      </c>
      <c r="D54" s="7">
        <v>0</v>
      </c>
      <c r="E54" s="7">
        <v>0</v>
      </c>
      <c r="F54" s="7">
        <v>0</v>
      </c>
      <c r="G54" s="7">
        <v>0</v>
      </c>
      <c r="H54" s="7">
        <v>0</v>
      </c>
      <c r="I54" s="7">
        <v>0</v>
      </c>
      <c r="J54" s="7">
        <v>0</v>
      </c>
      <c r="K54" s="7">
        <v>0</v>
      </c>
      <c r="L54" s="7">
        <v>79527.37000000001</v>
      </c>
      <c r="M54" s="7">
        <v>0</v>
      </c>
      <c r="N54" s="7">
        <v>87954.582064707414</v>
      </c>
      <c r="O54" s="7">
        <v>0</v>
      </c>
      <c r="P54" s="7">
        <v>0</v>
      </c>
      <c r="Q54" s="7">
        <v>0</v>
      </c>
      <c r="R54" s="7">
        <v>0</v>
      </c>
      <c r="S54" s="7">
        <v>0</v>
      </c>
      <c r="T54" s="7">
        <v>0</v>
      </c>
      <c r="U54" s="7">
        <v>0</v>
      </c>
      <c r="V54" s="7">
        <v>0</v>
      </c>
      <c r="W54" s="7">
        <v>0</v>
      </c>
      <c r="X54" s="7">
        <v>0</v>
      </c>
      <c r="Y54" s="7">
        <v>0</v>
      </c>
    </row>
    <row r="55" spans="1:25" s="5" customFormat="1" x14ac:dyDescent="0.25">
      <c r="A55" s="2" t="s">
        <v>190</v>
      </c>
      <c r="B55" s="7">
        <v>0</v>
      </c>
      <c r="C55" s="7">
        <v>0</v>
      </c>
      <c r="D55" s="7">
        <v>0</v>
      </c>
      <c r="E55" s="7">
        <v>0</v>
      </c>
      <c r="F55" s="7">
        <v>0</v>
      </c>
      <c r="G55" s="7">
        <v>0</v>
      </c>
      <c r="H55" s="7">
        <v>0</v>
      </c>
      <c r="I55" s="7">
        <v>0</v>
      </c>
      <c r="J55" s="7">
        <v>0</v>
      </c>
      <c r="K55" s="7">
        <v>0</v>
      </c>
      <c r="L55" s="7">
        <v>82134.646302209439</v>
      </c>
      <c r="M55" s="7">
        <v>0</v>
      </c>
      <c r="N55" s="7">
        <v>83381.62</v>
      </c>
      <c r="O55" s="7">
        <v>0</v>
      </c>
      <c r="P55" s="7">
        <v>0</v>
      </c>
      <c r="Q55" s="7">
        <v>0</v>
      </c>
      <c r="R55" s="7">
        <v>0</v>
      </c>
      <c r="S55" s="7">
        <v>0</v>
      </c>
      <c r="T55" s="7">
        <v>0</v>
      </c>
      <c r="U55" s="7">
        <v>0</v>
      </c>
      <c r="V55" s="7">
        <v>0</v>
      </c>
      <c r="W55" s="7">
        <v>0</v>
      </c>
      <c r="X55" s="7">
        <v>0</v>
      </c>
      <c r="Y55" s="7">
        <v>0</v>
      </c>
    </row>
    <row r="56" spans="1:25" s="5" customFormat="1" x14ac:dyDescent="0.25">
      <c r="A56" s="6" t="s">
        <v>102</v>
      </c>
      <c r="B56" s="6" t="s">
        <v>103</v>
      </c>
      <c r="C56" s="6" t="s">
        <v>103</v>
      </c>
      <c r="D56" s="6" t="s">
        <v>103</v>
      </c>
      <c r="E56" s="6" t="s">
        <v>103</v>
      </c>
      <c r="F56" s="6" t="s">
        <v>103</v>
      </c>
      <c r="G56" s="6" t="s">
        <v>108</v>
      </c>
      <c r="H56" s="6" t="s">
        <v>18</v>
      </c>
      <c r="I56" s="6" t="s">
        <v>18</v>
      </c>
      <c r="J56" s="6" t="s">
        <v>104</v>
      </c>
      <c r="K56" s="6" t="s">
        <v>104</v>
      </c>
      <c r="L56" s="6" t="s">
        <v>107</v>
      </c>
      <c r="M56" s="6" t="s">
        <v>104</v>
      </c>
      <c r="N56" s="6" t="s">
        <v>105</v>
      </c>
      <c r="O56" s="6" t="s">
        <v>106</v>
      </c>
      <c r="P56" s="6" t="s">
        <v>106</v>
      </c>
      <c r="Q56" s="6" t="s">
        <v>106</v>
      </c>
      <c r="R56" s="6" t="s">
        <v>106</v>
      </c>
      <c r="S56" s="6" t="s">
        <v>106</v>
      </c>
      <c r="T56" s="6" t="s">
        <v>106</v>
      </c>
      <c r="U56" s="6" t="s">
        <v>106</v>
      </c>
      <c r="V56" s="6" t="s">
        <v>106</v>
      </c>
      <c r="W56" s="6" t="s">
        <v>106</v>
      </c>
      <c r="X56" s="6" t="s">
        <v>106</v>
      </c>
      <c r="Y56" s="6" t="s">
        <v>106</v>
      </c>
    </row>
    <row r="57" spans="1:25" s="5" customFormat="1" x14ac:dyDescent="0.25">
      <c r="A57" s="2" t="s">
        <v>114</v>
      </c>
      <c r="B57" s="2">
        <v>0</v>
      </c>
      <c r="C57" s="2">
        <v>0</v>
      </c>
      <c r="D57" s="2">
        <v>1</v>
      </c>
      <c r="E57" s="2">
        <v>0</v>
      </c>
      <c r="F57" s="2">
        <v>0</v>
      </c>
      <c r="G57" s="2">
        <v>1</v>
      </c>
      <c r="H57" s="2">
        <v>0</v>
      </c>
      <c r="I57" s="2">
        <v>0</v>
      </c>
      <c r="J57" s="2">
        <v>0</v>
      </c>
      <c r="K57" s="2">
        <v>0</v>
      </c>
      <c r="L57" s="2">
        <v>0</v>
      </c>
      <c r="M57" s="2">
        <v>0</v>
      </c>
      <c r="N57" s="2">
        <v>1</v>
      </c>
      <c r="O57" s="2">
        <v>0</v>
      </c>
      <c r="P57" s="2">
        <v>0</v>
      </c>
      <c r="Q57" s="2">
        <v>0</v>
      </c>
      <c r="R57" s="2">
        <v>0</v>
      </c>
      <c r="S57" s="2">
        <v>0</v>
      </c>
      <c r="T57" s="2">
        <v>0</v>
      </c>
      <c r="U57" s="2">
        <v>0</v>
      </c>
      <c r="V57" s="2">
        <v>1</v>
      </c>
      <c r="W57" s="2">
        <v>0</v>
      </c>
      <c r="X57" s="2">
        <v>0</v>
      </c>
      <c r="Y57" s="2">
        <v>0</v>
      </c>
    </row>
    <row r="58" spans="1:25" s="5" customFormat="1" x14ac:dyDescent="0.25">
      <c r="A58" s="2" t="s">
        <v>115</v>
      </c>
      <c r="B58" s="2">
        <v>0</v>
      </c>
      <c r="C58" s="2">
        <v>0</v>
      </c>
      <c r="D58" s="2">
        <v>6268.5</v>
      </c>
      <c r="E58" s="2">
        <v>0</v>
      </c>
      <c r="F58" s="2">
        <v>0</v>
      </c>
      <c r="G58" s="2">
        <v>6268.5</v>
      </c>
      <c r="H58" s="2">
        <v>0</v>
      </c>
      <c r="I58" s="2">
        <v>0</v>
      </c>
      <c r="J58" s="2">
        <v>0</v>
      </c>
      <c r="K58" s="2">
        <v>0</v>
      </c>
      <c r="L58" s="2">
        <v>0</v>
      </c>
      <c r="M58" s="2">
        <v>0</v>
      </c>
      <c r="N58" s="2">
        <v>6268.5</v>
      </c>
      <c r="O58" s="2">
        <v>0</v>
      </c>
      <c r="P58" s="2">
        <v>0</v>
      </c>
      <c r="Q58" s="2">
        <v>0</v>
      </c>
      <c r="R58" s="2">
        <v>0</v>
      </c>
      <c r="S58" s="2">
        <v>0</v>
      </c>
      <c r="T58" s="2">
        <v>0</v>
      </c>
      <c r="U58" s="2">
        <v>0</v>
      </c>
      <c r="V58" s="2">
        <v>6268.5</v>
      </c>
      <c r="W58" s="2">
        <v>0</v>
      </c>
      <c r="X58" s="2">
        <v>0</v>
      </c>
      <c r="Y58" s="2">
        <v>0</v>
      </c>
    </row>
    <row r="59" spans="1:25" s="5" customFormat="1" x14ac:dyDescent="0.25">
      <c r="A59" s="2" t="s">
        <v>217</v>
      </c>
      <c r="B59" s="2">
        <v>11113.855133207504</v>
      </c>
      <c r="C59" s="2">
        <v>11118.08670161822</v>
      </c>
      <c r="D59" s="2">
        <v>11044.415789287419</v>
      </c>
      <c r="E59" s="2">
        <v>11038.663417601734</v>
      </c>
      <c r="F59" s="2">
        <v>11055.830475959214</v>
      </c>
      <c r="G59" s="2">
        <v>10788.024365582505</v>
      </c>
      <c r="H59" s="2">
        <v>13720.501274207452</v>
      </c>
      <c r="I59" s="2">
        <v>13720.501274207452</v>
      </c>
      <c r="J59" s="2">
        <v>10788.024365582505</v>
      </c>
      <c r="K59" s="2">
        <v>10788.024365582505</v>
      </c>
      <c r="L59" s="2">
        <v>10788.024365582505</v>
      </c>
      <c r="M59" s="2">
        <v>10788.024365582505</v>
      </c>
      <c r="N59" s="2">
        <v>10788.024365582505</v>
      </c>
      <c r="O59" s="2">
        <v>10788.024365582505</v>
      </c>
      <c r="P59" s="2">
        <v>10788.024365582505</v>
      </c>
      <c r="Q59" s="2">
        <v>10788.024365582505</v>
      </c>
      <c r="R59" s="2">
        <v>10788.024365582505</v>
      </c>
      <c r="S59" s="2">
        <v>10788.024365582505</v>
      </c>
      <c r="T59" s="2">
        <v>10788.024365582505</v>
      </c>
      <c r="U59" s="2">
        <v>10788.024365582505</v>
      </c>
      <c r="V59" s="2">
        <v>10788.024365582505</v>
      </c>
      <c r="W59" s="2">
        <v>10788.024365582505</v>
      </c>
      <c r="X59" s="2">
        <v>10788.024365582505</v>
      </c>
      <c r="Y59" s="2">
        <v>10788.024365582505</v>
      </c>
    </row>
    <row r="60" spans="1:25" s="5" customFormat="1" x14ac:dyDescent="0.25">
      <c r="A60" s="2" t="s">
        <v>218</v>
      </c>
      <c r="B60" s="2">
        <v>14697.993577082434</v>
      </c>
      <c r="C60" s="2">
        <v>14697.993577082434</v>
      </c>
      <c r="D60" s="2">
        <v>14697.993577082434</v>
      </c>
      <c r="E60" s="2">
        <v>14697.993577082434</v>
      </c>
      <c r="F60" s="2">
        <v>14697.993577082434</v>
      </c>
      <c r="G60" s="2">
        <v>15407.866647373499</v>
      </c>
      <c r="H60" s="2">
        <v>14697.993577082434</v>
      </c>
      <c r="I60" s="2">
        <v>14697.993577082434</v>
      </c>
      <c r="J60" s="2">
        <v>15407.866647373499</v>
      </c>
      <c r="K60" s="2">
        <v>15407.866647373499</v>
      </c>
      <c r="L60" s="2">
        <v>21796.724279993072</v>
      </c>
      <c r="M60" s="2">
        <v>15407.866647373499</v>
      </c>
      <c r="N60" s="2">
        <v>14697.993577082434</v>
      </c>
      <c r="O60" s="2">
        <v>15407.866647373499</v>
      </c>
      <c r="P60" s="2">
        <v>15407.866647373499</v>
      </c>
      <c r="Q60" s="2">
        <v>15407.866647373499</v>
      </c>
      <c r="R60" s="2">
        <v>15407.866647373499</v>
      </c>
      <c r="S60" s="2">
        <v>15407.866647373499</v>
      </c>
      <c r="T60" s="2">
        <v>15407.866647373499</v>
      </c>
      <c r="U60" s="2">
        <v>15407.866647373499</v>
      </c>
      <c r="V60" s="2">
        <v>15407.866647373499</v>
      </c>
      <c r="W60" s="2">
        <v>15407.866647373499</v>
      </c>
      <c r="X60" s="2">
        <v>15407.866647373499</v>
      </c>
      <c r="Y60" s="2">
        <v>15407.866647373499</v>
      </c>
    </row>
    <row r="61" spans="1:25" s="5" customFormat="1" x14ac:dyDescent="0.25">
      <c r="A61" s="2" t="s">
        <v>125</v>
      </c>
      <c r="B61" s="2">
        <v>0</v>
      </c>
      <c r="C61" s="2">
        <v>0</v>
      </c>
      <c r="D61" s="2">
        <v>0</v>
      </c>
      <c r="E61" s="2">
        <v>0</v>
      </c>
      <c r="F61" s="2">
        <v>0</v>
      </c>
      <c r="G61" s="2">
        <v>0</v>
      </c>
      <c r="H61" s="2">
        <v>0</v>
      </c>
      <c r="I61" s="2">
        <v>0</v>
      </c>
      <c r="J61" s="2">
        <v>0</v>
      </c>
      <c r="K61" s="2">
        <v>0</v>
      </c>
      <c r="L61" s="2">
        <v>0</v>
      </c>
      <c r="M61" s="2">
        <v>0</v>
      </c>
      <c r="N61" s="2">
        <v>0</v>
      </c>
      <c r="O61" s="2">
        <v>6</v>
      </c>
      <c r="P61" s="2">
        <v>5</v>
      </c>
      <c r="Q61" s="2">
        <v>0</v>
      </c>
      <c r="R61" s="2">
        <v>8</v>
      </c>
      <c r="S61" s="2">
        <v>0</v>
      </c>
      <c r="T61" s="2">
        <v>8</v>
      </c>
      <c r="U61" s="2">
        <v>6</v>
      </c>
      <c r="V61" s="2">
        <v>12</v>
      </c>
      <c r="W61" s="2">
        <v>3</v>
      </c>
      <c r="X61" s="2">
        <v>0</v>
      </c>
      <c r="Y61" s="2">
        <v>4</v>
      </c>
    </row>
    <row r="62" spans="1:25" x14ac:dyDescent="0.25">
      <c r="A62" s="2" t="s">
        <v>193</v>
      </c>
      <c r="B62" s="2">
        <v>11740.652130782833</v>
      </c>
      <c r="C62" s="2">
        <v>13572.353077041771</v>
      </c>
      <c r="D62" s="2">
        <v>13975.523635146545</v>
      </c>
      <c r="E62" s="2">
        <v>13549.560848851246</v>
      </c>
      <c r="F62" s="2">
        <v>14950.77921782663</v>
      </c>
      <c r="G62" s="2">
        <v>19168.392964661674</v>
      </c>
      <c r="H62" s="2">
        <v>15213.310937835562</v>
      </c>
      <c r="I62" s="2">
        <v>16786.717109534908</v>
      </c>
      <c r="J62" s="2">
        <v>15353.982063331885</v>
      </c>
      <c r="K62" s="2">
        <v>13600.62133892874</v>
      </c>
      <c r="L62" s="2">
        <v>16498.053482406973</v>
      </c>
      <c r="M62" s="2">
        <v>12311.657102931236</v>
      </c>
      <c r="N62" s="2">
        <v>17337.514409684736</v>
      </c>
      <c r="O62" s="2">
        <v>11789.917613734902</v>
      </c>
      <c r="P62" s="2">
        <v>12100.050432836611</v>
      </c>
      <c r="Q62" s="2">
        <v>11875.675594882292</v>
      </c>
      <c r="R62" s="2">
        <v>13771.289310318083</v>
      </c>
      <c r="S62" s="2">
        <v>12137.825800394035</v>
      </c>
      <c r="T62" s="2">
        <v>13515.059366114661</v>
      </c>
      <c r="U62" s="2">
        <v>11750.013033740495</v>
      </c>
      <c r="V62" s="2">
        <v>11664.993008029087</v>
      </c>
      <c r="W62" s="2">
        <v>12108.298844977569</v>
      </c>
      <c r="X62" s="2">
        <v>12169.810015158528</v>
      </c>
      <c r="Y62" s="2">
        <v>11790.148282020935</v>
      </c>
    </row>
    <row r="63" spans="1:25" x14ac:dyDescent="0.25">
      <c r="A63" s="2" t="s">
        <v>194</v>
      </c>
      <c r="B63" s="2">
        <v>14054.382113092968</v>
      </c>
      <c r="C63" s="2">
        <v>15739.684746434177</v>
      </c>
      <c r="D63" s="2">
        <v>16127.322943738181</v>
      </c>
      <c r="E63" s="2">
        <v>15804.892187304087</v>
      </c>
      <c r="F63" s="2">
        <v>17109.444950090758</v>
      </c>
      <c r="G63" s="2">
        <v>22762.575299131597</v>
      </c>
      <c r="H63" s="2">
        <v>19929.509214432408</v>
      </c>
      <c r="I63" s="2">
        <v>21632.45877234669</v>
      </c>
      <c r="J63" s="2">
        <v>16294.589774302332</v>
      </c>
      <c r="K63" s="2">
        <v>15506.621340775258</v>
      </c>
      <c r="L63" s="2">
        <v>18404.053484253494</v>
      </c>
      <c r="M63" s="2">
        <v>14217.657104777758</v>
      </c>
      <c r="N63" s="2">
        <v>17772.044977235331</v>
      </c>
      <c r="O63" s="2">
        <v>13684.003126514359</v>
      </c>
      <c r="P63" s="2">
        <v>13893.632958553779</v>
      </c>
      <c r="Q63" s="2">
        <v>13760.0645792994</v>
      </c>
      <c r="R63" s="2">
        <v>15406.961551897817</v>
      </c>
      <c r="S63" s="2">
        <v>13859.006673676071</v>
      </c>
      <c r="T63" s="2">
        <v>14870.963989456737</v>
      </c>
      <c r="U63" s="2">
        <v>13644.098546519952</v>
      </c>
      <c r="V63" s="2">
        <v>13585.909795043517</v>
      </c>
      <c r="W63" s="2">
        <v>14014.298846824089</v>
      </c>
      <c r="X63" s="2">
        <v>14063.895527937984</v>
      </c>
      <c r="Y63" s="2">
        <v>13696.148283867453</v>
      </c>
    </row>
    <row r="64" spans="1:25" x14ac:dyDescent="0.25">
      <c r="A64" s="2" t="s">
        <v>195</v>
      </c>
      <c r="B64" s="2">
        <v>15572.548604046475</v>
      </c>
      <c r="C64" s="2">
        <v>17404.249550305416</v>
      </c>
      <c r="D64" s="2">
        <v>17791.685844145992</v>
      </c>
      <c r="E64" s="2">
        <v>17381.457322114886</v>
      </c>
      <c r="F64" s="2">
        <v>18782.675691090277</v>
      </c>
      <c r="G64" s="2">
        <v>23099.321744686065</v>
      </c>
      <c r="H64" s="2">
        <v>18954.490204670787</v>
      </c>
      <c r="I64" s="2">
        <v>20642.717106605265</v>
      </c>
      <c r="J64" s="2">
        <v>19095.16133016711</v>
      </c>
      <c r="K64" s="2">
        <v>17456.621335999094</v>
      </c>
      <c r="L64" s="2">
        <v>20354.053479477334</v>
      </c>
      <c r="M64" s="2">
        <v>16167.657100001597</v>
      </c>
      <c r="N64" s="2">
        <v>21135.665949618964</v>
      </c>
      <c r="O64" s="2">
        <v>15621.814086998545</v>
      </c>
      <c r="P64" s="2">
        <v>15931.946906100253</v>
      </c>
      <c r="Q64" s="2">
        <v>15697.875539783583</v>
      </c>
      <c r="R64" s="2">
        <v>17512.468577153308</v>
      </c>
      <c r="S64" s="2">
        <v>15879.00506722926</v>
      </c>
      <c r="T64" s="2">
        <v>17256.238632949888</v>
      </c>
      <c r="U64" s="2">
        <v>15585.173476127118</v>
      </c>
      <c r="V64" s="2">
        <v>15540.597938015915</v>
      </c>
      <c r="W64" s="2">
        <v>15964.298842047927</v>
      </c>
      <c r="X64" s="2">
        <v>16001.706488422169</v>
      </c>
      <c r="Y64" s="2">
        <v>15646.148279091292</v>
      </c>
    </row>
    <row r="65" spans="1:25" x14ac:dyDescent="0.25">
      <c r="A65" s="2" t="s">
        <v>196</v>
      </c>
      <c r="B65" s="2">
        <v>21958.389802760867</v>
      </c>
      <c r="C65" s="2">
        <v>23790.090749019811</v>
      </c>
      <c r="D65" s="2">
        <v>24250.321159956355</v>
      </c>
      <c r="E65" s="2">
        <v>23767.298520829281</v>
      </c>
      <c r="F65" s="2">
        <v>25168.516889804669</v>
      </c>
      <c r="G65" s="2">
        <v>29650.111655201174</v>
      </c>
      <c r="H65" s="2">
        <v>25189.164804646163</v>
      </c>
      <c r="I65" s="2">
        <v>27068.717102098708</v>
      </c>
      <c r="J65" s="2">
        <v>25329.835930142479</v>
      </c>
      <c r="K65" s="2">
        <v>23882.621331492541</v>
      </c>
      <c r="L65" s="2">
        <v>26780.05347497078</v>
      </c>
      <c r="M65" s="2">
        <v>22593.657095495044</v>
      </c>
      <c r="N65" s="2">
        <v>27465.284832842703</v>
      </c>
      <c r="O65" s="2">
        <v>22009.631202912631</v>
      </c>
      <c r="P65" s="2">
        <v>22317.788104814645</v>
      </c>
      <c r="Q65" s="2">
        <v>22083.716738497977</v>
      </c>
      <c r="R65" s="2">
        <v>23876.750041970845</v>
      </c>
      <c r="S65" s="2">
        <v>22153.680629046605</v>
      </c>
      <c r="T65" s="2">
        <v>23580.625753703385</v>
      </c>
      <c r="U65" s="2">
        <v>22011.173471620561</v>
      </c>
      <c r="V65" s="2">
        <v>22014.447102111546</v>
      </c>
      <c r="W65" s="2">
        <v>22390.29883754137</v>
      </c>
      <c r="X65" s="2">
        <v>22387.547687136564</v>
      </c>
      <c r="Y65" s="2">
        <v>22072.148274584732</v>
      </c>
    </row>
    <row r="66" spans="1:25" x14ac:dyDescent="0.25">
      <c r="A66" s="2" t="s">
        <v>197</v>
      </c>
      <c r="B66" s="2">
        <v>17508.376169859592</v>
      </c>
      <c r="C66" s="2">
        <v>19340.077116118529</v>
      </c>
      <c r="D66" s="2">
        <v>19752.935360986754</v>
      </c>
      <c r="E66" s="2">
        <v>19317.284887928003</v>
      </c>
      <c r="F66" s="2">
        <v>20718.503256903394</v>
      </c>
      <c r="G66" s="2">
        <v>25511.406835265454</v>
      </c>
      <c r="H66" s="2">
        <v>20844.494574091728</v>
      </c>
      <c r="I66" s="2">
        <v>22590.717103821553</v>
      </c>
      <c r="J66" s="2">
        <v>21689.399562334955</v>
      </c>
      <c r="K66" s="2">
        <v>20134.516228761393</v>
      </c>
      <c r="L66" s="2">
        <v>29379.053506488031</v>
      </c>
      <c r="M66" s="2">
        <v>18842.178908787213</v>
      </c>
      <c r="N66" s="2">
        <v>21742.557769988365</v>
      </c>
      <c r="O66" s="2">
        <v>18264.595042897348</v>
      </c>
      <c r="P66" s="2">
        <v>18596.307933970213</v>
      </c>
      <c r="Q66" s="2">
        <v>18342.90747824627</v>
      </c>
      <c r="R66" s="2">
        <v>20130.013194300911</v>
      </c>
      <c r="S66" s="2">
        <v>18455.637452828432</v>
      </c>
      <c r="T66" s="2">
        <v>19833.888906033448</v>
      </c>
      <c r="U66" s="2">
        <v>18262.506969976213</v>
      </c>
      <c r="V66" s="2">
        <v>18222.024535776607</v>
      </c>
      <c r="W66" s="2">
        <v>18665.364227050035</v>
      </c>
      <c r="X66" s="2">
        <v>18648.258321094661</v>
      </c>
      <c r="Y66" s="2">
        <v>18313.336915699027</v>
      </c>
    </row>
    <row r="67" spans="1:25" x14ac:dyDescent="0.25">
      <c r="A67" s="2" t="s">
        <v>198</v>
      </c>
      <c r="B67" s="2">
        <v>0</v>
      </c>
      <c r="C67" s="2">
        <v>0</v>
      </c>
      <c r="D67" s="2">
        <v>0</v>
      </c>
      <c r="E67" s="2">
        <v>0</v>
      </c>
      <c r="F67" s="2">
        <v>0</v>
      </c>
      <c r="G67" s="2">
        <v>50120.32486020623</v>
      </c>
      <c r="H67" s="2">
        <v>0</v>
      </c>
      <c r="I67" s="2">
        <v>0</v>
      </c>
      <c r="J67" s="2">
        <v>0</v>
      </c>
      <c r="K67" s="2">
        <v>0</v>
      </c>
      <c r="L67" s="2">
        <v>50514.508444056366</v>
      </c>
      <c r="M67" s="2">
        <v>42232.858976580843</v>
      </c>
      <c r="N67" s="2">
        <v>53732.063245031473</v>
      </c>
      <c r="O67" s="2">
        <v>0</v>
      </c>
      <c r="P67" s="2">
        <v>0</v>
      </c>
      <c r="Q67" s="2">
        <v>0</v>
      </c>
      <c r="R67" s="2">
        <v>0</v>
      </c>
      <c r="S67" s="2">
        <v>0</v>
      </c>
      <c r="T67" s="2">
        <v>0</v>
      </c>
      <c r="U67" s="2">
        <v>0</v>
      </c>
      <c r="V67" s="2">
        <v>0</v>
      </c>
      <c r="W67" s="2">
        <v>0</v>
      </c>
      <c r="X67" s="2">
        <v>0</v>
      </c>
      <c r="Y67" s="2">
        <v>0</v>
      </c>
    </row>
    <row r="68" spans="1:25" x14ac:dyDescent="0.25">
      <c r="A68" s="2" t="s">
        <v>199</v>
      </c>
      <c r="B68" s="2">
        <v>0</v>
      </c>
      <c r="C68" s="2">
        <v>0</v>
      </c>
      <c r="D68" s="2">
        <v>0</v>
      </c>
      <c r="E68" s="2">
        <v>0</v>
      </c>
      <c r="F68" s="2">
        <v>0</v>
      </c>
      <c r="G68" s="2">
        <v>53538.70389767523</v>
      </c>
      <c r="H68" s="2">
        <v>0</v>
      </c>
      <c r="I68" s="2">
        <v>0</v>
      </c>
      <c r="J68" s="2">
        <v>0</v>
      </c>
      <c r="K68" s="2">
        <v>0</v>
      </c>
      <c r="L68" s="2">
        <v>52420.50844590288</v>
      </c>
      <c r="M68" s="2">
        <v>44138.858978427357</v>
      </c>
      <c r="N68" s="2">
        <v>55181.802164102846</v>
      </c>
      <c r="O68" s="2">
        <v>0</v>
      </c>
      <c r="P68" s="2">
        <v>0</v>
      </c>
      <c r="Q68" s="2">
        <v>0</v>
      </c>
      <c r="R68" s="2">
        <v>0</v>
      </c>
      <c r="S68" s="2">
        <v>0</v>
      </c>
      <c r="T68" s="2">
        <v>0</v>
      </c>
      <c r="U68" s="2">
        <v>0</v>
      </c>
      <c r="V68" s="2">
        <v>0</v>
      </c>
      <c r="W68" s="2">
        <v>0</v>
      </c>
      <c r="X68" s="2">
        <v>0</v>
      </c>
      <c r="Y68" s="2">
        <v>0</v>
      </c>
    </row>
    <row r="69" spans="1:25" x14ac:dyDescent="0.25">
      <c r="A69" s="2" t="s">
        <v>200</v>
      </c>
      <c r="B69" s="2">
        <v>0</v>
      </c>
      <c r="C69" s="2">
        <v>0</v>
      </c>
      <c r="D69" s="2">
        <v>0</v>
      </c>
      <c r="E69" s="2">
        <v>0</v>
      </c>
      <c r="F69" s="2">
        <v>0</v>
      </c>
      <c r="G69" s="2">
        <v>54048.007746842079</v>
      </c>
      <c r="H69" s="2">
        <v>0</v>
      </c>
      <c r="I69" s="2">
        <v>0</v>
      </c>
      <c r="J69" s="2">
        <v>0</v>
      </c>
      <c r="K69" s="2">
        <v>0</v>
      </c>
      <c r="L69" s="2">
        <v>54370.508441126716</v>
      </c>
      <c r="M69" s="2">
        <v>46088.858973651193</v>
      </c>
      <c r="N69" s="2">
        <v>57631.768121337671</v>
      </c>
      <c r="O69" s="2">
        <v>0</v>
      </c>
      <c r="P69" s="2">
        <v>0</v>
      </c>
      <c r="Q69" s="2">
        <v>0</v>
      </c>
      <c r="R69" s="2">
        <v>0</v>
      </c>
      <c r="S69" s="2">
        <v>0</v>
      </c>
      <c r="T69" s="2">
        <v>0</v>
      </c>
      <c r="U69" s="2">
        <v>0</v>
      </c>
      <c r="V69" s="2">
        <v>0</v>
      </c>
      <c r="W69" s="2">
        <v>0</v>
      </c>
      <c r="X69" s="2">
        <v>0</v>
      </c>
      <c r="Y69" s="2">
        <v>0</v>
      </c>
    </row>
    <row r="70" spans="1:25" x14ac:dyDescent="0.25">
      <c r="A70" s="2" t="s">
        <v>201</v>
      </c>
      <c r="B70" s="2">
        <v>0</v>
      </c>
      <c r="C70" s="2">
        <v>0</v>
      </c>
      <c r="D70" s="2">
        <v>0</v>
      </c>
      <c r="E70" s="2">
        <v>0</v>
      </c>
      <c r="F70" s="2">
        <v>0</v>
      </c>
      <c r="G70" s="2">
        <v>60593.421077651175</v>
      </c>
      <c r="H70" s="2">
        <v>0</v>
      </c>
      <c r="I70" s="2">
        <v>0</v>
      </c>
      <c r="J70" s="2">
        <v>0</v>
      </c>
      <c r="K70" s="2">
        <v>0</v>
      </c>
      <c r="L70" s="2">
        <v>60796.508436620163</v>
      </c>
      <c r="M70" s="2">
        <v>52514.858969144647</v>
      </c>
      <c r="N70" s="2">
        <v>64130.565993513679</v>
      </c>
      <c r="O70" s="2">
        <v>0</v>
      </c>
      <c r="P70" s="2">
        <v>0</v>
      </c>
      <c r="Q70" s="2">
        <v>0</v>
      </c>
      <c r="R70" s="2">
        <v>0</v>
      </c>
      <c r="S70" s="2">
        <v>0</v>
      </c>
      <c r="T70" s="2">
        <v>0</v>
      </c>
      <c r="U70" s="2">
        <v>0</v>
      </c>
      <c r="V70" s="2">
        <v>0</v>
      </c>
      <c r="W70" s="2">
        <v>0</v>
      </c>
      <c r="X70" s="2">
        <v>0</v>
      </c>
      <c r="Y70" s="2">
        <v>0</v>
      </c>
    </row>
    <row r="71" spans="1:25" x14ac:dyDescent="0.25">
      <c r="A71" s="2" t="s">
        <v>202</v>
      </c>
      <c r="B71" s="2">
        <v>0</v>
      </c>
      <c r="C71" s="2">
        <v>0</v>
      </c>
      <c r="D71" s="2">
        <v>0</v>
      </c>
      <c r="E71" s="2">
        <v>0</v>
      </c>
      <c r="F71" s="2">
        <v>0</v>
      </c>
      <c r="G71" s="2">
        <v>56456.066612990864</v>
      </c>
      <c r="H71" s="2">
        <v>0</v>
      </c>
      <c r="I71" s="2">
        <v>0</v>
      </c>
      <c r="J71" s="2">
        <v>0</v>
      </c>
      <c r="K71" s="2">
        <v>0</v>
      </c>
      <c r="L71" s="2">
        <v>63395.508468137414</v>
      </c>
      <c r="M71" s="2">
        <v>48763.380782436812</v>
      </c>
      <c r="N71" s="2">
        <v>59150.380423640447</v>
      </c>
      <c r="O71" s="2">
        <v>0</v>
      </c>
      <c r="P71" s="2">
        <v>0</v>
      </c>
      <c r="Q71" s="2">
        <v>0</v>
      </c>
      <c r="R71" s="2">
        <v>0</v>
      </c>
      <c r="S71" s="2">
        <v>0</v>
      </c>
      <c r="T71" s="2">
        <v>0</v>
      </c>
      <c r="U71" s="2">
        <v>0</v>
      </c>
      <c r="V71" s="2">
        <v>0</v>
      </c>
      <c r="W71" s="2">
        <v>0</v>
      </c>
      <c r="X71" s="2">
        <v>0</v>
      </c>
      <c r="Y71" s="2">
        <v>0</v>
      </c>
    </row>
    <row r="72" spans="1:25" x14ac:dyDescent="0.25">
      <c r="A72" s="2" t="s">
        <v>203</v>
      </c>
      <c r="B72" s="2">
        <v>0</v>
      </c>
      <c r="C72" s="2">
        <v>0</v>
      </c>
      <c r="D72" s="2">
        <v>0</v>
      </c>
      <c r="E72" s="2">
        <v>0</v>
      </c>
      <c r="F72" s="2">
        <v>0</v>
      </c>
      <c r="G72" s="2">
        <v>0</v>
      </c>
      <c r="H72" s="2">
        <v>0</v>
      </c>
      <c r="I72" s="2">
        <v>0</v>
      </c>
      <c r="J72" s="2">
        <v>0</v>
      </c>
      <c r="K72" s="2">
        <v>0</v>
      </c>
      <c r="L72" s="2">
        <v>67614.508419368605</v>
      </c>
      <c r="M72" s="2">
        <v>0</v>
      </c>
      <c r="N72" s="2">
        <v>77089.572265743642</v>
      </c>
      <c r="O72" s="2">
        <v>0</v>
      </c>
      <c r="P72" s="2">
        <v>0</v>
      </c>
      <c r="Q72" s="2">
        <v>0</v>
      </c>
      <c r="R72" s="2">
        <v>0</v>
      </c>
      <c r="S72" s="2">
        <v>0</v>
      </c>
      <c r="T72" s="2">
        <v>0</v>
      </c>
      <c r="U72" s="2">
        <v>0</v>
      </c>
      <c r="V72" s="2">
        <v>0</v>
      </c>
      <c r="W72" s="2">
        <v>0</v>
      </c>
      <c r="X72" s="2">
        <v>0</v>
      </c>
      <c r="Y72" s="2">
        <v>0</v>
      </c>
    </row>
    <row r="73" spans="1:25" x14ac:dyDescent="0.25">
      <c r="A73" s="2" t="s">
        <v>204</v>
      </c>
      <c r="B73" s="2">
        <v>0</v>
      </c>
      <c r="C73" s="2">
        <v>0</v>
      </c>
      <c r="D73" s="2">
        <v>0</v>
      </c>
      <c r="E73" s="2">
        <v>0</v>
      </c>
      <c r="F73" s="2">
        <v>0</v>
      </c>
      <c r="G73" s="2">
        <v>0</v>
      </c>
      <c r="H73" s="2">
        <v>0</v>
      </c>
      <c r="I73" s="2">
        <v>0</v>
      </c>
      <c r="J73" s="2">
        <v>0</v>
      </c>
      <c r="K73" s="2">
        <v>0</v>
      </c>
      <c r="L73" s="2">
        <v>69520.508421215112</v>
      </c>
      <c r="M73" s="2">
        <v>0</v>
      </c>
      <c r="N73" s="2">
        <v>78876.176641355996</v>
      </c>
      <c r="O73" s="2">
        <v>0</v>
      </c>
      <c r="P73" s="2">
        <v>0</v>
      </c>
      <c r="Q73" s="2">
        <v>0</v>
      </c>
      <c r="R73" s="2">
        <v>0</v>
      </c>
      <c r="S73" s="2">
        <v>0</v>
      </c>
      <c r="T73" s="2">
        <v>0</v>
      </c>
      <c r="U73" s="2">
        <v>0</v>
      </c>
      <c r="V73" s="2">
        <v>0</v>
      </c>
      <c r="W73" s="2">
        <v>0</v>
      </c>
      <c r="X73" s="2">
        <v>0</v>
      </c>
      <c r="Y73" s="2">
        <v>0</v>
      </c>
    </row>
    <row r="74" spans="1:25" x14ac:dyDescent="0.25">
      <c r="A74" s="2" t="s">
        <v>205</v>
      </c>
      <c r="B74" s="2">
        <v>0</v>
      </c>
      <c r="C74" s="2">
        <v>0</v>
      </c>
      <c r="D74" s="2">
        <v>0</v>
      </c>
      <c r="E74" s="2">
        <v>0</v>
      </c>
      <c r="F74" s="2">
        <v>0</v>
      </c>
      <c r="G74" s="2">
        <v>0</v>
      </c>
      <c r="H74" s="2">
        <v>0</v>
      </c>
      <c r="I74" s="2">
        <v>0</v>
      </c>
      <c r="J74" s="2">
        <v>0</v>
      </c>
      <c r="K74" s="2">
        <v>0</v>
      </c>
      <c r="L74" s="2">
        <v>71470.508416438955</v>
      </c>
      <c r="M74" s="2">
        <v>0</v>
      </c>
      <c r="N74" s="2">
        <v>80989.277142049847</v>
      </c>
      <c r="O74" s="2">
        <v>0</v>
      </c>
      <c r="P74" s="2">
        <v>0</v>
      </c>
      <c r="Q74" s="2">
        <v>0</v>
      </c>
      <c r="R74" s="2">
        <v>0</v>
      </c>
      <c r="S74" s="2">
        <v>0</v>
      </c>
      <c r="T74" s="2">
        <v>0</v>
      </c>
      <c r="U74" s="2">
        <v>0</v>
      </c>
      <c r="V74" s="2">
        <v>0</v>
      </c>
      <c r="W74" s="2">
        <v>0</v>
      </c>
      <c r="X74" s="2">
        <v>0</v>
      </c>
      <c r="Y74" s="2">
        <v>0</v>
      </c>
    </row>
    <row r="75" spans="1:25" x14ac:dyDescent="0.25">
      <c r="A75" s="2" t="s">
        <v>206</v>
      </c>
      <c r="B75" s="2">
        <v>0</v>
      </c>
      <c r="C75" s="2">
        <v>0</v>
      </c>
      <c r="D75" s="2">
        <v>0</v>
      </c>
      <c r="E75" s="2">
        <v>0</v>
      </c>
      <c r="F75" s="2">
        <v>0</v>
      </c>
      <c r="G75" s="2">
        <v>0</v>
      </c>
      <c r="H75" s="2">
        <v>0</v>
      </c>
      <c r="I75" s="2">
        <v>0</v>
      </c>
      <c r="J75" s="2">
        <v>0</v>
      </c>
      <c r="K75" s="2">
        <v>0</v>
      </c>
      <c r="L75" s="2">
        <v>77896.508411932402</v>
      </c>
      <c r="M75" s="2">
        <v>0</v>
      </c>
      <c r="N75" s="2">
        <v>87488.075014225848</v>
      </c>
      <c r="O75" s="2">
        <v>0</v>
      </c>
      <c r="P75" s="2">
        <v>0</v>
      </c>
      <c r="Q75" s="2">
        <v>0</v>
      </c>
      <c r="R75" s="2">
        <v>0</v>
      </c>
      <c r="S75" s="2">
        <v>0</v>
      </c>
      <c r="T75" s="2">
        <v>0</v>
      </c>
      <c r="U75" s="2">
        <v>0</v>
      </c>
      <c r="V75" s="2">
        <v>0</v>
      </c>
      <c r="W75" s="2">
        <v>0</v>
      </c>
      <c r="X75" s="2">
        <v>0</v>
      </c>
      <c r="Y75" s="2">
        <v>0</v>
      </c>
    </row>
    <row r="76" spans="1:25" x14ac:dyDescent="0.25">
      <c r="A76" s="2" t="s">
        <v>207</v>
      </c>
      <c r="B76" s="2">
        <v>0</v>
      </c>
      <c r="C76" s="2">
        <v>0</v>
      </c>
      <c r="D76" s="2">
        <v>0</v>
      </c>
      <c r="E76" s="2">
        <v>0</v>
      </c>
      <c r="F76" s="2">
        <v>0</v>
      </c>
      <c r="G76" s="2">
        <v>0</v>
      </c>
      <c r="H76" s="2">
        <v>0</v>
      </c>
      <c r="I76" s="2">
        <v>0</v>
      </c>
      <c r="J76" s="2">
        <v>0</v>
      </c>
      <c r="K76" s="2">
        <v>0</v>
      </c>
      <c r="L76" s="2">
        <v>80495.508443449653</v>
      </c>
      <c r="M76" s="2">
        <v>0</v>
      </c>
      <c r="N76" s="2">
        <v>82846.689434109023</v>
      </c>
      <c r="O76" s="2">
        <v>0</v>
      </c>
      <c r="P76" s="2">
        <v>0</v>
      </c>
      <c r="Q76" s="2">
        <v>0</v>
      </c>
      <c r="R76" s="2">
        <v>0</v>
      </c>
      <c r="S76" s="2">
        <v>0</v>
      </c>
      <c r="T76" s="2">
        <v>0</v>
      </c>
      <c r="U76" s="2">
        <v>0</v>
      </c>
      <c r="V76" s="2">
        <v>0</v>
      </c>
      <c r="W76" s="2">
        <v>0</v>
      </c>
      <c r="X76" s="2">
        <v>0</v>
      </c>
      <c r="Y76" s="2">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34</vt:i4>
      </vt:variant>
    </vt:vector>
  </HeadingPairs>
  <TitlesOfParts>
    <vt:vector size="37" baseType="lpstr">
      <vt:lpstr>Special Rates 2015-16</vt:lpstr>
      <vt:lpstr>Nursery Lump Sums</vt:lpstr>
      <vt:lpstr>Lookup Table</vt:lpstr>
      <vt:lpstr>ASD</vt:lpstr>
      <vt:lpstr>ASD5N</vt:lpstr>
      <vt:lpstr>ASD7N</vt:lpstr>
      <vt:lpstr>ASDOLD</vt:lpstr>
      <vt:lpstr>ASDOLD5</vt:lpstr>
      <vt:lpstr>ASDOLD7</vt:lpstr>
      <vt:lpstr>BESD</vt:lpstr>
      <vt:lpstr>BESD5N</vt:lpstr>
      <vt:lpstr>BESD7N</vt:lpstr>
      <vt:lpstr>BESDOLD</vt:lpstr>
      <vt:lpstr>BESDOLD5</vt:lpstr>
      <vt:lpstr>BESDOLD7</vt:lpstr>
      <vt:lpstr>DFENUM</vt:lpstr>
      <vt:lpstr>dfenums</vt:lpstr>
      <vt:lpstr>MLD</vt:lpstr>
      <vt:lpstr>MLD5N</vt:lpstr>
      <vt:lpstr>MLD7N</vt:lpstr>
      <vt:lpstr>MLDOLD</vt:lpstr>
      <vt:lpstr>MLDOLD5</vt:lpstr>
      <vt:lpstr>MLDOLD7</vt:lpstr>
      <vt:lpstr>nurserylump</vt:lpstr>
      <vt:lpstr>PD</vt:lpstr>
      <vt:lpstr>PD5N</vt:lpstr>
      <vt:lpstr>PD7N</vt:lpstr>
      <vt:lpstr>PDOLD</vt:lpstr>
      <vt:lpstr>PDOLD5</vt:lpstr>
      <vt:lpstr>PDOLD7</vt:lpstr>
      <vt:lpstr>'Special Rates 2015-16'!Print_Area</vt:lpstr>
      <vt:lpstr>SLD</vt:lpstr>
      <vt:lpstr>SLD5N</vt:lpstr>
      <vt:lpstr>SLD7N</vt:lpstr>
      <vt:lpstr>SLDOLD</vt:lpstr>
      <vt:lpstr>SLDOLD5</vt:lpstr>
      <vt:lpstr>SLDOLD7</vt:lpstr>
    </vt:vector>
  </TitlesOfParts>
  <Company>Kent County Council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Christopher - BSS FP</dc:creator>
  <cp:lastModifiedBy>Scott, Christopher - BSS FP</cp:lastModifiedBy>
  <cp:lastPrinted>2015-01-27T11:39:34Z</cp:lastPrinted>
  <dcterms:created xsi:type="dcterms:W3CDTF">2014-01-21T10:07:15Z</dcterms:created>
  <dcterms:modified xsi:type="dcterms:W3CDTF">2015-03-03T14:42:40Z</dcterms:modified>
</cp:coreProperties>
</file>