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heeducationpeople.sharepoint.com/sites/tep/SFS/Statutory/Compliance/Finance controls and scheme/1. On Kelsi/"/>
    </mc:Choice>
  </mc:AlternateContent>
  <xr:revisionPtr revIDLastSave="162" documentId="14_{145122D3-0C65-4934-AA75-66358EDA7918}" xr6:coauthVersionLast="47" xr6:coauthVersionMax="47" xr10:uidLastSave="{34491728-E67A-46D7-8E88-FF64BF4577AD}"/>
  <workbookProtection workbookAlgorithmName="SHA-512" workbookHashValue="ZZ7Vd3cJ1TJ7Fo69TIITtuot8x3HYjuSKPlo622z+mny6e4rTM/6PTgvy27/jAmVs0IC86fWgBFXXuSK0tDusw==" workbookSaltValue="3gftSUCSeHsE3Qku1VE0bQ==" workbookSpinCount="100000" lockStructure="1"/>
  <bookViews>
    <workbookView xWindow="28680" yWindow="-120" windowWidth="20640" windowHeight="11160" firstSheet="1" activeTab="1" xr2:uid="{74FCF427-47A6-4D7E-A1A7-6257C23873FF}"/>
  </bookViews>
  <sheets>
    <sheet name="Interest Rates" sheetId="1" state="hidden" r:id="rId1"/>
    <sheet name="School Template" sheetId="2" r:id="rId2"/>
  </sheets>
  <definedNames>
    <definedName name="_xlnm.Print_Area" localSheetId="1">'School Template'!$F$1:$BA$36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1" i="2"/>
  <c r="B22" i="2" s="1"/>
  <c r="C11" i="2"/>
  <c r="D14" i="2"/>
  <c r="T3" i="2"/>
  <c r="V3" i="2" s="1"/>
  <c r="T4" i="2"/>
  <c r="V4" i="2" s="1"/>
  <c r="T5" i="2"/>
  <c r="V5" i="2" s="1"/>
  <c r="T6" i="2"/>
  <c r="V6" i="2" s="1"/>
  <c r="T7" i="2"/>
  <c r="V7" i="2" s="1"/>
  <c r="T8" i="2"/>
  <c r="V8" i="2" s="1"/>
  <c r="T9" i="2"/>
  <c r="V9" i="2" s="1"/>
  <c r="T10" i="2"/>
  <c r="V10" i="2" s="1"/>
  <c r="T11" i="2"/>
  <c r="V11" i="2" s="1"/>
  <c r="T12" i="2"/>
  <c r="V12" i="2" s="1"/>
  <c r="T13" i="2"/>
  <c r="V13" i="2" s="1"/>
  <c r="T14" i="2"/>
  <c r="V14" i="2" s="1"/>
  <c r="T15" i="2"/>
  <c r="V15" i="2" s="1"/>
  <c r="T16" i="2"/>
  <c r="V16" i="2" s="1"/>
  <c r="T17" i="2"/>
  <c r="V17" i="2" s="1"/>
  <c r="T18" i="2"/>
  <c r="V18" i="2" s="1"/>
  <c r="T19" i="2"/>
  <c r="V19" i="2" s="1"/>
  <c r="T20" i="2"/>
  <c r="V20" i="2" s="1"/>
  <c r="T21" i="2"/>
  <c r="V21" i="2" s="1"/>
  <c r="T22" i="2"/>
  <c r="V22" i="2" s="1"/>
  <c r="T23" i="2"/>
  <c r="V23" i="2" s="1"/>
  <c r="T24" i="2"/>
  <c r="V24" i="2" s="1"/>
  <c r="T25" i="2"/>
  <c r="V25" i="2" s="1"/>
  <c r="T26" i="2"/>
  <c r="V26" i="2" s="1"/>
  <c r="T27" i="2"/>
  <c r="V27" i="2" s="1"/>
  <c r="T28" i="2"/>
  <c r="V28" i="2" s="1"/>
  <c r="T29" i="2"/>
  <c r="V29" i="2" s="1"/>
  <c r="T30" i="2"/>
  <c r="V30" i="2" s="1"/>
  <c r="T31" i="2"/>
  <c r="V31" i="2" s="1"/>
  <c r="T32" i="2"/>
  <c r="V32" i="2" s="1"/>
  <c r="T33" i="2"/>
  <c r="V33" i="2" s="1"/>
  <c r="T34" i="2"/>
  <c r="V34" i="2" s="1"/>
  <c r="T35" i="2"/>
  <c r="V35" i="2" s="1"/>
  <c r="T36" i="2"/>
  <c r="V36" i="2" s="1"/>
  <c r="T37" i="2"/>
  <c r="V37" i="2" s="1"/>
  <c r="T38" i="2"/>
  <c r="V38" i="2" s="1"/>
  <c r="T39" i="2"/>
  <c r="V39" i="2" s="1"/>
  <c r="T40" i="2"/>
  <c r="V40" i="2" s="1"/>
  <c r="T41" i="2"/>
  <c r="V41" i="2" s="1"/>
  <c r="T42" i="2"/>
  <c r="V42" i="2" s="1"/>
  <c r="T43" i="2"/>
  <c r="V43" i="2" s="1"/>
  <c r="T44" i="2"/>
  <c r="V44" i="2" s="1"/>
  <c r="T45" i="2"/>
  <c r="V45" i="2" s="1"/>
  <c r="T46" i="2"/>
  <c r="V46" i="2" s="1"/>
  <c r="T47" i="2"/>
  <c r="V47" i="2" s="1"/>
  <c r="T48" i="2"/>
  <c r="V48" i="2" s="1"/>
  <c r="T49" i="2"/>
  <c r="V49" i="2" s="1"/>
  <c r="T50" i="2"/>
  <c r="V50" i="2" s="1"/>
  <c r="T51" i="2"/>
  <c r="V51" i="2" s="1"/>
  <c r="T52" i="2"/>
  <c r="V52" i="2" s="1"/>
  <c r="T53" i="2"/>
  <c r="V53" i="2" s="1"/>
  <c r="T54" i="2"/>
  <c r="V54" i="2" s="1"/>
  <c r="T55" i="2"/>
  <c r="V55" i="2" s="1"/>
  <c r="T56" i="2"/>
  <c r="V56" i="2" s="1"/>
  <c r="T57" i="2"/>
  <c r="V57" i="2" s="1"/>
  <c r="T58" i="2"/>
  <c r="V58" i="2" s="1"/>
  <c r="T59" i="2"/>
  <c r="V59" i="2" s="1"/>
  <c r="T60" i="2"/>
  <c r="V60" i="2" s="1"/>
  <c r="T61" i="2"/>
  <c r="V61" i="2" s="1"/>
  <c r="T62" i="2"/>
  <c r="V62" i="2" s="1"/>
  <c r="T63" i="2"/>
  <c r="V63" i="2" s="1"/>
  <c r="T64" i="2"/>
  <c r="V64" i="2" s="1"/>
  <c r="T65" i="2"/>
  <c r="V65" i="2" s="1"/>
  <c r="T66" i="2"/>
  <c r="V66" i="2" s="1"/>
  <c r="T67" i="2"/>
  <c r="V67" i="2" s="1"/>
  <c r="T68" i="2"/>
  <c r="V68" i="2" s="1"/>
  <c r="T69" i="2"/>
  <c r="V69" i="2" s="1"/>
  <c r="T70" i="2"/>
  <c r="V70" i="2" s="1"/>
  <c r="T71" i="2"/>
  <c r="V71" i="2" s="1"/>
  <c r="T72" i="2"/>
  <c r="V72" i="2" s="1"/>
  <c r="T73" i="2"/>
  <c r="V73" i="2" s="1"/>
  <c r="T74" i="2"/>
  <c r="V74" i="2" s="1"/>
  <c r="T75" i="2"/>
  <c r="V75" i="2" s="1"/>
  <c r="T76" i="2"/>
  <c r="V76" i="2" s="1"/>
  <c r="T77" i="2"/>
  <c r="V77" i="2" s="1"/>
  <c r="T78" i="2"/>
  <c r="V78" i="2" s="1"/>
  <c r="T79" i="2"/>
  <c r="V79" i="2" s="1"/>
  <c r="T80" i="2"/>
  <c r="V80" i="2" s="1"/>
  <c r="T81" i="2"/>
  <c r="V81" i="2" s="1"/>
  <c r="T82" i="2"/>
  <c r="V82" i="2" s="1"/>
  <c r="T83" i="2"/>
  <c r="V83" i="2" s="1"/>
  <c r="T84" i="2"/>
  <c r="V84" i="2" s="1"/>
  <c r="T85" i="2"/>
  <c r="V85" i="2" s="1"/>
  <c r="T86" i="2"/>
  <c r="V86" i="2" s="1"/>
  <c r="T87" i="2"/>
  <c r="V87" i="2" s="1"/>
  <c r="T88" i="2"/>
  <c r="V88" i="2" s="1"/>
  <c r="T89" i="2"/>
  <c r="V89" i="2" s="1"/>
  <c r="T90" i="2"/>
  <c r="V90" i="2" s="1"/>
  <c r="T91" i="2"/>
  <c r="V91" i="2" s="1"/>
  <c r="T92" i="2"/>
  <c r="V92" i="2" s="1"/>
  <c r="T93" i="2"/>
  <c r="V93" i="2" s="1"/>
  <c r="T94" i="2"/>
  <c r="V94" i="2" s="1"/>
  <c r="T95" i="2"/>
  <c r="V95" i="2" s="1"/>
  <c r="T96" i="2"/>
  <c r="V96" i="2" s="1"/>
  <c r="T97" i="2"/>
  <c r="V97" i="2" s="1"/>
  <c r="T98" i="2"/>
  <c r="V98" i="2" s="1"/>
  <c r="T99" i="2"/>
  <c r="V99" i="2" s="1"/>
  <c r="T100" i="2"/>
  <c r="V100" i="2" s="1"/>
  <c r="T101" i="2"/>
  <c r="V101" i="2" s="1"/>
  <c r="T102" i="2"/>
  <c r="V102" i="2" s="1"/>
  <c r="T103" i="2"/>
  <c r="V103" i="2" s="1"/>
  <c r="T104" i="2"/>
  <c r="V104" i="2" s="1"/>
  <c r="T105" i="2"/>
  <c r="V105" i="2" s="1"/>
  <c r="T106" i="2"/>
  <c r="V106" i="2" s="1"/>
  <c r="T107" i="2"/>
  <c r="V107" i="2" s="1"/>
  <c r="T108" i="2"/>
  <c r="V108" i="2" s="1"/>
  <c r="T109" i="2"/>
  <c r="V109" i="2" s="1"/>
  <c r="T110" i="2"/>
  <c r="V110" i="2" s="1"/>
  <c r="T111" i="2"/>
  <c r="V111" i="2" s="1"/>
  <c r="T112" i="2"/>
  <c r="V112" i="2" s="1"/>
  <c r="T113" i="2"/>
  <c r="V113" i="2" s="1"/>
  <c r="T114" i="2"/>
  <c r="V114" i="2" s="1"/>
  <c r="T115" i="2"/>
  <c r="V115" i="2" s="1"/>
  <c r="T116" i="2"/>
  <c r="V116" i="2" s="1"/>
  <c r="T117" i="2"/>
  <c r="V117" i="2" s="1"/>
  <c r="T118" i="2"/>
  <c r="V118" i="2" s="1"/>
  <c r="T119" i="2"/>
  <c r="V119" i="2" s="1"/>
  <c r="T120" i="2"/>
  <c r="V120" i="2" s="1"/>
  <c r="T121" i="2"/>
  <c r="V121" i="2" s="1"/>
  <c r="T122" i="2"/>
  <c r="V122" i="2" s="1"/>
  <c r="T123" i="2"/>
  <c r="V123" i="2" s="1"/>
  <c r="T124" i="2"/>
  <c r="V124" i="2" s="1"/>
  <c r="T125" i="2"/>
  <c r="V125" i="2" s="1"/>
  <c r="T126" i="2"/>
  <c r="V126" i="2" s="1"/>
  <c r="T127" i="2"/>
  <c r="V127" i="2" s="1"/>
  <c r="T128" i="2"/>
  <c r="V128" i="2" s="1"/>
  <c r="T129" i="2"/>
  <c r="V129" i="2" s="1"/>
  <c r="T130" i="2"/>
  <c r="V130" i="2" s="1"/>
  <c r="T131" i="2"/>
  <c r="V131" i="2" s="1"/>
  <c r="T132" i="2"/>
  <c r="V132" i="2" s="1"/>
  <c r="T133" i="2"/>
  <c r="V133" i="2" s="1"/>
  <c r="T134" i="2"/>
  <c r="V134" i="2" s="1"/>
  <c r="T135" i="2"/>
  <c r="V135" i="2" s="1"/>
  <c r="T136" i="2"/>
  <c r="V136" i="2" s="1"/>
  <c r="T137" i="2"/>
  <c r="V137" i="2" s="1"/>
  <c r="T138" i="2"/>
  <c r="V138" i="2" s="1"/>
  <c r="T139" i="2"/>
  <c r="V139" i="2" s="1"/>
  <c r="T140" i="2"/>
  <c r="V140" i="2" s="1"/>
  <c r="T141" i="2"/>
  <c r="V141" i="2" s="1"/>
  <c r="T142" i="2"/>
  <c r="V142" i="2" s="1"/>
  <c r="T143" i="2"/>
  <c r="V143" i="2" s="1"/>
  <c r="T144" i="2"/>
  <c r="V144" i="2" s="1"/>
  <c r="T145" i="2"/>
  <c r="V145" i="2" s="1"/>
  <c r="T146" i="2"/>
  <c r="V146" i="2" s="1"/>
  <c r="T147" i="2"/>
  <c r="V147" i="2" s="1"/>
  <c r="T148" i="2"/>
  <c r="V148" i="2" s="1"/>
  <c r="T149" i="2"/>
  <c r="V149" i="2" s="1"/>
  <c r="T150" i="2"/>
  <c r="V150" i="2" s="1"/>
  <c r="AF27" i="2"/>
  <c r="AE27" i="2"/>
  <c r="AK22" i="2"/>
  <c r="AI22" i="2"/>
  <c r="AH22" i="2"/>
  <c r="AG22" i="2"/>
  <c r="AG7" i="2"/>
  <c r="AD7" i="2"/>
  <c r="AH6" i="2"/>
  <c r="AJ2" i="2"/>
  <c r="AE2" i="2"/>
  <c r="AN2" i="2"/>
  <c r="AN3" i="2" s="1"/>
  <c r="U2" i="2"/>
  <c r="T2" i="2"/>
  <c r="V2" i="2" s="1"/>
  <c r="W2" i="2" s="1"/>
  <c r="S2" i="2"/>
  <c r="B5" i="2"/>
  <c r="AF2" i="2" s="1"/>
  <c r="AD8" i="2" l="1"/>
  <c r="AD9" i="2" s="1"/>
  <c r="AF7" i="2"/>
  <c r="G22" i="2"/>
  <c r="B23" i="2"/>
  <c r="G23" i="2" s="1"/>
  <c r="D22" i="2"/>
  <c r="C22" i="2"/>
  <c r="C21" i="2"/>
  <c r="W3" i="2"/>
  <c r="W4" i="2" s="1"/>
  <c r="W5" i="2" s="1"/>
  <c r="W6" i="2" s="1"/>
  <c r="W7" i="2" s="1"/>
  <c r="W8" i="2" s="1"/>
  <c r="AJ22" i="2"/>
  <c r="AN4" i="2"/>
  <c r="K2" i="2"/>
  <c r="M2" i="2" s="1"/>
  <c r="N2" i="2" s="1"/>
  <c r="F301" i="1"/>
  <c r="E301" i="1"/>
  <c r="B301" i="1"/>
  <c r="F300" i="1"/>
  <c r="E300" i="1"/>
  <c r="B300" i="1"/>
  <c r="F299" i="1"/>
  <c r="E299" i="1"/>
  <c r="B299" i="1"/>
  <c r="F298" i="1"/>
  <c r="E298" i="1"/>
  <c r="B298" i="1"/>
  <c r="F297" i="1"/>
  <c r="E297" i="1"/>
  <c r="B297" i="1"/>
  <c r="F296" i="1"/>
  <c r="E296" i="1"/>
  <c r="B296" i="1"/>
  <c r="F295" i="1"/>
  <c r="E295" i="1"/>
  <c r="B295" i="1"/>
  <c r="F294" i="1"/>
  <c r="E294" i="1"/>
  <c r="B294" i="1"/>
  <c r="F293" i="1"/>
  <c r="E293" i="1"/>
  <c r="B293" i="1"/>
  <c r="F292" i="1"/>
  <c r="E292" i="1"/>
  <c r="B292" i="1"/>
  <c r="F291" i="1"/>
  <c r="E291" i="1"/>
  <c r="B291" i="1"/>
  <c r="F290" i="1"/>
  <c r="E290" i="1"/>
  <c r="B290" i="1"/>
  <c r="F289" i="1"/>
  <c r="E289" i="1"/>
  <c r="B289" i="1"/>
  <c r="F288" i="1"/>
  <c r="E288" i="1"/>
  <c r="B288" i="1"/>
  <c r="F287" i="1"/>
  <c r="E287" i="1"/>
  <c r="B287" i="1"/>
  <c r="F286" i="1"/>
  <c r="E286" i="1"/>
  <c r="B286" i="1"/>
  <c r="F285" i="1"/>
  <c r="E285" i="1"/>
  <c r="B285" i="1"/>
  <c r="F284" i="1"/>
  <c r="E284" i="1"/>
  <c r="B284" i="1"/>
  <c r="F283" i="1"/>
  <c r="E283" i="1"/>
  <c r="B283" i="1"/>
  <c r="F282" i="1"/>
  <c r="E282" i="1"/>
  <c r="B282" i="1"/>
  <c r="F281" i="1"/>
  <c r="E281" i="1"/>
  <c r="B281" i="1"/>
  <c r="F280" i="1"/>
  <c r="E280" i="1"/>
  <c r="B280" i="1"/>
  <c r="F279" i="1"/>
  <c r="E279" i="1"/>
  <c r="B279" i="1"/>
  <c r="F278" i="1"/>
  <c r="E278" i="1"/>
  <c r="B278" i="1"/>
  <c r="F277" i="1"/>
  <c r="E277" i="1"/>
  <c r="B277" i="1"/>
  <c r="F276" i="1"/>
  <c r="E276" i="1"/>
  <c r="B276" i="1"/>
  <c r="F275" i="1"/>
  <c r="E275" i="1"/>
  <c r="B275" i="1"/>
  <c r="F274" i="1"/>
  <c r="E274" i="1"/>
  <c r="B274" i="1"/>
  <c r="F273" i="1"/>
  <c r="E273" i="1"/>
  <c r="B273" i="1"/>
  <c r="F272" i="1"/>
  <c r="E272" i="1"/>
  <c r="B272" i="1"/>
  <c r="F271" i="1"/>
  <c r="E271" i="1"/>
  <c r="B271" i="1"/>
  <c r="F270" i="1"/>
  <c r="E270" i="1"/>
  <c r="B270" i="1"/>
  <c r="F269" i="1"/>
  <c r="E269" i="1"/>
  <c r="B269" i="1"/>
  <c r="F268" i="1"/>
  <c r="E268" i="1"/>
  <c r="B268" i="1"/>
  <c r="F267" i="1"/>
  <c r="E267" i="1"/>
  <c r="B267" i="1"/>
  <c r="F266" i="1"/>
  <c r="E266" i="1"/>
  <c r="B266" i="1"/>
  <c r="F265" i="1"/>
  <c r="E265" i="1"/>
  <c r="B265" i="1"/>
  <c r="F264" i="1"/>
  <c r="E264" i="1"/>
  <c r="B264" i="1"/>
  <c r="F263" i="1"/>
  <c r="E263" i="1"/>
  <c r="B263" i="1"/>
  <c r="F262" i="1"/>
  <c r="E262" i="1"/>
  <c r="B262" i="1"/>
  <c r="F261" i="1"/>
  <c r="E261" i="1"/>
  <c r="B261" i="1"/>
  <c r="F260" i="1"/>
  <c r="E260" i="1"/>
  <c r="B260" i="1"/>
  <c r="F259" i="1"/>
  <c r="E259" i="1"/>
  <c r="B259" i="1"/>
  <c r="F258" i="1"/>
  <c r="E258" i="1"/>
  <c r="B258" i="1"/>
  <c r="F257" i="1"/>
  <c r="E257" i="1"/>
  <c r="B257" i="1"/>
  <c r="F256" i="1"/>
  <c r="E256" i="1"/>
  <c r="B256" i="1"/>
  <c r="F255" i="1"/>
  <c r="E255" i="1"/>
  <c r="B255" i="1"/>
  <c r="F254" i="1"/>
  <c r="E254" i="1"/>
  <c r="B254" i="1"/>
  <c r="F253" i="1"/>
  <c r="E253" i="1"/>
  <c r="B253" i="1"/>
  <c r="F252" i="1"/>
  <c r="E252" i="1"/>
  <c r="B252" i="1"/>
  <c r="F251" i="1"/>
  <c r="E251" i="1"/>
  <c r="B251" i="1"/>
  <c r="F250" i="1"/>
  <c r="E250" i="1"/>
  <c r="B250" i="1"/>
  <c r="F249" i="1"/>
  <c r="E249" i="1"/>
  <c r="B249" i="1"/>
  <c r="F248" i="1"/>
  <c r="E248" i="1"/>
  <c r="B248" i="1"/>
  <c r="F247" i="1"/>
  <c r="E247" i="1"/>
  <c r="B247" i="1"/>
  <c r="F246" i="1"/>
  <c r="E246" i="1"/>
  <c r="B246" i="1"/>
  <c r="F245" i="1"/>
  <c r="E245" i="1"/>
  <c r="B245" i="1"/>
  <c r="F244" i="1"/>
  <c r="E244" i="1"/>
  <c r="B244" i="1"/>
  <c r="F243" i="1"/>
  <c r="E243" i="1"/>
  <c r="B243" i="1"/>
  <c r="F242" i="1"/>
  <c r="E242" i="1"/>
  <c r="B242" i="1"/>
  <c r="F241" i="1"/>
  <c r="E241" i="1"/>
  <c r="B241" i="1"/>
  <c r="F240" i="1"/>
  <c r="E240" i="1"/>
  <c r="B240" i="1"/>
  <c r="F239" i="1"/>
  <c r="E239" i="1"/>
  <c r="B239" i="1"/>
  <c r="F238" i="1"/>
  <c r="E238" i="1"/>
  <c r="B238" i="1"/>
  <c r="F237" i="1"/>
  <c r="E237" i="1"/>
  <c r="B237" i="1"/>
  <c r="F236" i="1"/>
  <c r="E236" i="1"/>
  <c r="B236" i="1"/>
  <c r="F235" i="1"/>
  <c r="E235" i="1"/>
  <c r="B235" i="1"/>
  <c r="F234" i="1"/>
  <c r="E234" i="1"/>
  <c r="B234" i="1"/>
  <c r="F233" i="1"/>
  <c r="E233" i="1"/>
  <c r="B233" i="1"/>
  <c r="F232" i="1"/>
  <c r="E232" i="1"/>
  <c r="B232" i="1"/>
  <c r="F231" i="1"/>
  <c r="E231" i="1"/>
  <c r="B231" i="1"/>
  <c r="F230" i="1"/>
  <c r="E230" i="1"/>
  <c r="B230" i="1"/>
  <c r="F229" i="1"/>
  <c r="E229" i="1"/>
  <c r="B229" i="1"/>
  <c r="F228" i="1"/>
  <c r="E228" i="1"/>
  <c r="B228" i="1"/>
  <c r="F227" i="1"/>
  <c r="E227" i="1"/>
  <c r="B227" i="1"/>
  <c r="F226" i="1"/>
  <c r="E226" i="1"/>
  <c r="B226" i="1"/>
  <c r="F225" i="1"/>
  <c r="E225" i="1"/>
  <c r="B225" i="1"/>
  <c r="F224" i="1"/>
  <c r="E224" i="1"/>
  <c r="B224" i="1"/>
  <c r="F223" i="1"/>
  <c r="E223" i="1"/>
  <c r="B223" i="1"/>
  <c r="F222" i="1"/>
  <c r="E222" i="1"/>
  <c r="B222" i="1"/>
  <c r="F221" i="1"/>
  <c r="E221" i="1"/>
  <c r="B221" i="1"/>
  <c r="F220" i="1"/>
  <c r="E220" i="1"/>
  <c r="B220" i="1"/>
  <c r="F219" i="1"/>
  <c r="E219" i="1"/>
  <c r="B219" i="1"/>
  <c r="F218" i="1"/>
  <c r="E218" i="1"/>
  <c r="B218" i="1"/>
  <c r="F217" i="1"/>
  <c r="E217" i="1"/>
  <c r="B217" i="1"/>
  <c r="F216" i="1"/>
  <c r="E216" i="1"/>
  <c r="B216" i="1"/>
  <c r="F215" i="1"/>
  <c r="E215" i="1"/>
  <c r="B215" i="1"/>
  <c r="F214" i="1"/>
  <c r="E214" i="1"/>
  <c r="B214" i="1"/>
  <c r="F213" i="1"/>
  <c r="E213" i="1"/>
  <c r="B213" i="1"/>
  <c r="F212" i="1"/>
  <c r="E212" i="1"/>
  <c r="B212" i="1"/>
  <c r="F211" i="1"/>
  <c r="E211" i="1"/>
  <c r="B211" i="1"/>
  <c r="F210" i="1"/>
  <c r="E210" i="1"/>
  <c r="B210" i="1"/>
  <c r="F209" i="1"/>
  <c r="E209" i="1"/>
  <c r="B209" i="1"/>
  <c r="F208" i="1"/>
  <c r="E208" i="1"/>
  <c r="B208" i="1"/>
  <c r="F207" i="1"/>
  <c r="E207" i="1"/>
  <c r="B207" i="1"/>
  <c r="F206" i="1"/>
  <c r="E206" i="1"/>
  <c r="B206" i="1"/>
  <c r="F205" i="1"/>
  <c r="E205" i="1"/>
  <c r="B205" i="1"/>
  <c r="F204" i="1"/>
  <c r="E204" i="1"/>
  <c r="B204" i="1"/>
  <c r="F203" i="1"/>
  <c r="E203" i="1"/>
  <c r="B203" i="1"/>
  <c r="F202" i="1"/>
  <c r="E202" i="1"/>
  <c r="B202" i="1"/>
  <c r="F201" i="1"/>
  <c r="E201" i="1"/>
  <c r="D201" i="1"/>
  <c r="B201" i="1"/>
  <c r="F200" i="1"/>
  <c r="E200" i="1"/>
  <c r="D200" i="1"/>
  <c r="B200" i="1"/>
  <c r="F199" i="1"/>
  <c r="E199" i="1"/>
  <c r="D199" i="1"/>
  <c r="B199" i="1"/>
  <c r="F198" i="1"/>
  <c r="E198" i="1"/>
  <c r="D198" i="1"/>
  <c r="B198" i="1"/>
  <c r="F197" i="1"/>
  <c r="E197" i="1"/>
  <c r="D197" i="1"/>
  <c r="B197" i="1"/>
  <c r="F196" i="1"/>
  <c r="E196" i="1"/>
  <c r="D196" i="1"/>
  <c r="B196" i="1"/>
  <c r="F195" i="1"/>
  <c r="E195" i="1"/>
  <c r="D195" i="1"/>
  <c r="B195" i="1"/>
  <c r="F194" i="1"/>
  <c r="E194" i="1"/>
  <c r="D194" i="1"/>
  <c r="B194" i="1"/>
  <c r="F193" i="1"/>
  <c r="E193" i="1"/>
  <c r="D193" i="1"/>
  <c r="B193" i="1"/>
  <c r="F192" i="1"/>
  <c r="E192" i="1"/>
  <c r="D192" i="1"/>
  <c r="B192" i="1"/>
  <c r="F191" i="1"/>
  <c r="E191" i="1"/>
  <c r="D191" i="1"/>
  <c r="B191" i="1"/>
  <c r="F190" i="1"/>
  <c r="E190" i="1"/>
  <c r="D190" i="1"/>
  <c r="B190" i="1"/>
  <c r="F189" i="1"/>
  <c r="E189" i="1"/>
  <c r="D189" i="1"/>
  <c r="B189" i="1"/>
  <c r="F188" i="1"/>
  <c r="E188" i="1"/>
  <c r="D188" i="1"/>
  <c r="B188" i="1"/>
  <c r="F187" i="1"/>
  <c r="E187" i="1"/>
  <c r="D187" i="1"/>
  <c r="B187" i="1"/>
  <c r="F186" i="1"/>
  <c r="E186" i="1"/>
  <c r="D186" i="1"/>
  <c r="B186" i="1"/>
  <c r="F185" i="1"/>
  <c r="E185" i="1"/>
  <c r="D185" i="1"/>
  <c r="B185" i="1"/>
  <c r="F184" i="1"/>
  <c r="E184" i="1"/>
  <c r="D184" i="1"/>
  <c r="B184" i="1"/>
  <c r="F183" i="1"/>
  <c r="E183" i="1"/>
  <c r="D183" i="1"/>
  <c r="B183" i="1"/>
  <c r="F182" i="1"/>
  <c r="E182" i="1"/>
  <c r="D182" i="1"/>
  <c r="B182" i="1"/>
  <c r="F181" i="1"/>
  <c r="E181" i="1"/>
  <c r="D181" i="1"/>
  <c r="B181" i="1"/>
  <c r="F180" i="1"/>
  <c r="E180" i="1"/>
  <c r="D180" i="1"/>
  <c r="B180" i="1"/>
  <c r="F179" i="1"/>
  <c r="E179" i="1"/>
  <c r="D179" i="1"/>
  <c r="B179" i="1"/>
  <c r="F178" i="1"/>
  <c r="E178" i="1"/>
  <c r="D178" i="1"/>
  <c r="B178" i="1"/>
  <c r="F177" i="1"/>
  <c r="E177" i="1"/>
  <c r="D177" i="1"/>
  <c r="B177" i="1"/>
  <c r="F176" i="1"/>
  <c r="E176" i="1"/>
  <c r="D176" i="1"/>
  <c r="B176" i="1"/>
  <c r="F175" i="1"/>
  <c r="E175" i="1"/>
  <c r="D175" i="1"/>
  <c r="B175" i="1"/>
  <c r="F174" i="1"/>
  <c r="E174" i="1"/>
  <c r="D174" i="1"/>
  <c r="B174" i="1"/>
  <c r="F173" i="1"/>
  <c r="E173" i="1"/>
  <c r="D173" i="1"/>
  <c r="B173" i="1"/>
  <c r="F172" i="1"/>
  <c r="E172" i="1"/>
  <c r="D172" i="1"/>
  <c r="B172" i="1"/>
  <c r="F171" i="1"/>
  <c r="E171" i="1"/>
  <c r="D171" i="1"/>
  <c r="B171" i="1"/>
  <c r="F170" i="1"/>
  <c r="E170" i="1"/>
  <c r="D170" i="1"/>
  <c r="B170" i="1"/>
  <c r="F169" i="1"/>
  <c r="E169" i="1"/>
  <c r="D169" i="1"/>
  <c r="B169" i="1"/>
  <c r="F168" i="1"/>
  <c r="E168" i="1"/>
  <c r="D168" i="1"/>
  <c r="B168" i="1"/>
  <c r="F167" i="1"/>
  <c r="E167" i="1"/>
  <c r="D167" i="1"/>
  <c r="B167" i="1"/>
  <c r="F166" i="1"/>
  <c r="E166" i="1"/>
  <c r="D166" i="1"/>
  <c r="B166" i="1"/>
  <c r="F165" i="1"/>
  <c r="E165" i="1"/>
  <c r="D165" i="1"/>
  <c r="B165" i="1"/>
  <c r="F164" i="1"/>
  <c r="E164" i="1"/>
  <c r="D164" i="1"/>
  <c r="B164" i="1"/>
  <c r="F163" i="1"/>
  <c r="E163" i="1"/>
  <c r="D163" i="1"/>
  <c r="B163" i="1"/>
  <c r="F162" i="1"/>
  <c r="E162" i="1"/>
  <c r="D162" i="1"/>
  <c r="B162" i="1"/>
  <c r="F161" i="1"/>
  <c r="E161" i="1"/>
  <c r="D161" i="1"/>
  <c r="B161" i="1"/>
  <c r="F160" i="1"/>
  <c r="E160" i="1"/>
  <c r="D160" i="1"/>
  <c r="B160" i="1"/>
  <c r="F159" i="1"/>
  <c r="E159" i="1"/>
  <c r="D159" i="1"/>
  <c r="B159" i="1"/>
  <c r="F158" i="1"/>
  <c r="E158" i="1"/>
  <c r="D158" i="1"/>
  <c r="B158" i="1"/>
  <c r="F157" i="1"/>
  <c r="E157" i="1"/>
  <c r="D157" i="1"/>
  <c r="B157" i="1"/>
  <c r="F156" i="1"/>
  <c r="E156" i="1"/>
  <c r="D156" i="1"/>
  <c r="B156" i="1"/>
  <c r="F155" i="1"/>
  <c r="E155" i="1"/>
  <c r="D155" i="1"/>
  <c r="B155" i="1"/>
  <c r="F154" i="1"/>
  <c r="E154" i="1"/>
  <c r="D154" i="1"/>
  <c r="B154" i="1"/>
  <c r="F153" i="1"/>
  <c r="E153" i="1"/>
  <c r="D153" i="1"/>
  <c r="B153" i="1"/>
  <c r="F152" i="1"/>
  <c r="E152" i="1"/>
  <c r="D152" i="1"/>
  <c r="B152" i="1"/>
  <c r="F151" i="1"/>
  <c r="E151" i="1"/>
  <c r="D151" i="1"/>
  <c r="B151" i="1"/>
  <c r="F150" i="1"/>
  <c r="E150" i="1"/>
  <c r="D150" i="1"/>
  <c r="B150" i="1"/>
  <c r="F149" i="1"/>
  <c r="E149" i="1"/>
  <c r="D149" i="1"/>
  <c r="B149" i="1"/>
  <c r="F148" i="1"/>
  <c r="E148" i="1"/>
  <c r="D148" i="1"/>
  <c r="B148" i="1"/>
  <c r="F147" i="1"/>
  <c r="E147" i="1"/>
  <c r="D147" i="1"/>
  <c r="B147" i="1"/>
  <c r="F146" i="1"/>
  <c r="E146" i="1"/>
  <c r="D146" i="1"/>
  <c r="B146" i="1"/>
  <c r="F145" i="1"/>
  <c r="E145" i="1"/>
  <c r="D145" i="1"/>
  <c r="B145" i="1"/>
  <c r="F144" i="1"/>
  <c r="E144" i="1"/>
  <c r="D144" i="1"/>
  <c r="B144" i="1"/>
  <c r="F143" i="1"/>
  <c r="E143" i="1"/>
  <c r="D143" i="1"/>
  <c r="B143" i="1"/>
  <c r="F142" i="1"/>
  <c r="E142" i="1"/>
  <c r="D142" i="1"/>
  <c r="B142" i="1"/>
  <c r="F141" i="1"/>
  <c r="E141" i="1"/>
  <c r="D141" i="1"/>
  <c r="B141" i="1"/>
  <c r="F140" i="1"/>
  <c r="E140" i="1"/>
  <c r="D140" i="1"/>
  <c r="B140" i="1"/>
  <c r="F139" i="1"/>
  <c r="E139" i="1"/>
  <c r="D139" i="1"/>
  <c r="B139" i="1"/>
  <c r="F138" i="1"/>
  <c r="E138" i="1"/>
  <c r="D138" i="1"/>
  <c r="B138" i="1"/>
  <c r="F137" i="1"/>
  <c r="E137" i="1"/>
  <c r="D137" i="1"/>
  <c r="B137" i="1"/>
  <c r="F136" i="1"/>
  <c r="E136" i="1"/>
  <c r="D136" i="1"/>
  <c r="B136" i="1"/>
  <c r="F135" i="1"/>
  <c r="E135" i="1"/>
  <c r="D135" i="1"/>
  <c r="B135" i="1"/>
  <c r="F134" i="1"/>
  <c r="E134" i="1"/>
  <c r="D134" i="1"/>
  <c r="B134" i="1"/>
  <c r="F133" i="1"/>
  <c r="E133" i="1"/>
  <c r="D133" i="1"/>
  <c r="B133" i="1"/>
  <c r="F132" i="1"/>
  <c r="E132" i="1"/>
  <c r="D132" i="1"/>
  <c r="B132" i="1"/>
  <c r="F131" i="1"/>
  <c r="E131" i="1"/>
  <c r="D131" i="1"/>
  <c r="B131" i="1"/>
  <c r="F130" i="1"/>
  <c r="E130" i="1"/>
  <c r="D130" i="1"/>
  <c r="B130" i="1"/>
  <c r="F129" i="1"/>
  <c r="E129" i="1"/>
  <c r="D129" i="1"/>
  <c r="B129" i="1"/>
  <c r="F128" i="1"/>
  <c r="E128" i="1"/>
  <c r="D128" i="1"/>
  <c r="B128" i="1"/>
  <c r="F127" i="1"/>
  <c r="E127" i="1"/>
  <c r="D127" i="1"/>
  <c r="B127" i="1"/>
  <c r="F126" i="1"/>
  <c r="E126" i="1"/>
  <c r="D126" i="1"/>
  <c r="B126" i="1"/>
  <c r="F125" i="1"/>
  <c r="E125" i="1"/>
  <c r="D125" i="1"/>
  <c r="B125" i="1"/>
  <c r="F124" i="1"/>
  <c r="E124" i="1"/>
  <c r="D124" i="1"/>
  <c r="B124" i="1"/>
  <c r="F123" i="1"/>
  <c r="E123" i="1"/>
  <c r="D123" i="1"/>
  <c r="B123" i="1"/>
  <c r="F122" i="1"/>
  <c r="E122" i="1"/>
  <c r="D122" i="1"/>
  <c r="B122" i="1"/>
  <c r="F121" i="1"/>
  <c r="E121" i="1"/>
  <c r="D121" i="1"/>
  <c r="B121" i="1"/>
  <c r="F120" i="1"/>
  <c r="E120" i="1"/>
  <c r="D120" i="1"/>
  <c r="B120" i="1"/>
  <c r="F119" i="1"/>
  <c r="E119" i="1"/>
  <c r="D119" i="1"/>
  <c r="B119" i="1"/>
  <c r="F118" i="1"/>
  <c r="E118" i="1"/>
  <c r="D118" i="1"/>
  <c r="B118" i="1"/>
  <c r="F117" i="1"/>
  <c r="E117" i="1"/>
  <c r="D117" i="1"/>
  <c r="B117" i="1"/>
  <c r="F116" i="1"/>
  <c r="E116" i="1"/>
  <c r="D116" i="1"/>
  <c r="B116" i="1"/>
  <c r="F115" i="1"/>
  <c r="E115" i="1"/>
  <c r="D115" i="1"/>
  <c r="B115" i="1"/>
  <c r="F114" i="1"/>
  <c r="E114" i="1"/>
  <c r="D114" i="1"/>
  <c r="B114" i="1"/>
  <c r="F113" i="1"/>
  <c r="E113" i="1"/>
  <c r="D113" i="1"/>
  <c r="B113" i="1"/>
  <c r="F112" i="1"/>
  <c r="E112" i="1"/>
  <c r="D112" i="1"/>
  <c r="B112" i="1"/>
  <c r="F111" i="1"/>
  <c r="E111" i="1"/>
  <c r="D111" i="1"/>
  <c r="B111" i="1"/>
  <c r="F110" i="1"/>
  <c r="E110" i="1"/>
  <c r="D110" i="1"/>
  <c r="B110" i="1"/>
  <c r="F109" i="1"/>
  <c r="E109" i="1"/>
  <c r="D109" i="1"/>
  <c r="B109" i="1"/>
  <c r="F108" i="1"/>
  <c r="E108" i="1"/>
  <c r="D108" i="1"/>
  <c r="B108" i="1"/>
  <c r="F107" i="1"/>
  <c r="E107" i="1"/>
  <c r="D107" i="1"/>
  <c r="B107" i="1"/>
  <c r="F106" i="1"/>
  <c r="E106" i="1"/>
  <c r="D106" i="1"/>
  <c r="B106" i="1"/>
  <c r="F105" i="1"/>
  <c r="E105" i="1"/>
  <c r="D105" i="1"/>
  <c r="B105" i="1"/>
  <c r="F104" i="1"/>
  <c r="E104" i="1"/>
  <c r="D104" i="1"/>
  <c r="B104" i="1"/>
  <c r="F103" i="1"/>
  <c r="E103" i="1"/>
  <c r="D103" i="1"/>
  <c r="B103" i="1"/>
  <c r="F102" i="1"/>
  <c r="E102" i="1"/>
  <c r="D102" i="1"/>
  <c r="B102" i="1"/>
  <c r="F101" i="1"/>
  <c r="E101" i="1"/>
  <c r="D101" i="1"/>
  <c r="B101" i="1"/>
  <c r="F100" i="1"/>
  <c r="E100" i="1"/>
  <c r="D100" i="1"/>
  <c r="B100" i="1"/>
  <c r="F99" i="1"/>
  <c r="E99" i="1"/>
  <c r="D99" i="1"/>
  <c r="B99" i="1"/>
  <c r="F98" i="1"/>
  <c r="E98" i="1"/>
  <c r="D98" i="1"/>
  <c r="B98" i="1"/>
  <c r="F97" i="1"/>
  <c r="E97" i="1"/>
  <c r="D97" i="1"/>
  <c r="B97" i="1"/>
  <c r="F96" i="1"/>
  <c r="E96" i="1"/>
  <c r="D96" i="1"/>
  <c r="B96" i="1"/>
  <c r="F95" i="1"/>
  <c r="E95" i="1"/>
  <c r="D95" i="1"/>
  <c r="B95" i="1"/>
  <c r="F94" i="1"/>
  <c r="E94" i="1"/>
  <c r="D94" i="1"/>
  <c r="B94" i="1"/>
  <c r="F93" i="1"/>
  <c r="E93" i="1"/>
  <c r="D93" i="1"/>
  <c r="B93" i="1"/>
  <c r="F92" i="1"/>
  <c r="E92" i="1"/>
  <c r="D92" i="1"/>
  <c r="B92" i="1"/>
  <c r="F91" i="1"/>
  <c r="E91" i="1"/>
  <c r="D91" i="1"/>
  <c r="B91" i="1"/>
  <c r="F90" i="1"/>
  <c r="E90" i="1"/>
  <c r="D90" i="1"/>
  <c r="B90" i="1"/>
  <c r="F89" i="1"/>
  <c r="E89" i="1"/>
  <c r="D89" i="1"/>
  <c r="B89" i="1"/>
  <c r="F88" i="1"/>
  <c r="E88" i="1"/>
  <c r="D88" i="1"/>
  <c r="B88" i="1"/>
  <c r="F87" i="1"/>
  <c r="E87" i="1"/>
  <c r="D87" i="1"/>
  <c r="B87" i="1"/>
  <c r="F86" i="1"/>
  <c r="E86" i="1"/>
  <c r="D86" i="1"/>
  <c r="B86" i="1"/>
  <c r="F85" i="1"/>
  <c r="E85" i="1"/>
  <c r="D85" i="1"/>
  <c r="B85" i="1"/>
  <c r="F84" i="1"/>
  <c r="E84" i="1"/>
  <c r="D84" i="1"/>
  <c r="B84" i="1"/>
  <c r="F83" i="1"/>
  <c r="E83" i="1"/>
  <c r="D83" i="1"/>
  <c r="B83" i="1"/>
  <c r="F82" i="1"/>
  <c r="E82" i="1"/>
  <c r="D82" i="1"/>
  <c r="B82" i="1"/>
  <c r="F81" i="1"/>
  <c r="E81" i="1"/>
  <c r="D81" i="1"/>
  <c r="B81" i="1"/>
  <c r="F80" i="1"/>
  <c r="E80" i="1"/>
  <c r="D80" i="1"/>
  <c r="B80" i="1"/>
  <c r="F79" i="1"/>
  <c r="E79" i="1"/>
  <c r="D79" i="1"/>
  <c r="B79" i="1"/>
  <c r="F78" i="1"/>
  <c r="E78" i="1"/>
  <c r="D78" i="1"/>
  <c r="B78" i="1"/>
  <c r="F77" i="1"/>
  <c r="E77" i="1"/>
  <c r="D77" i="1"/>
  <c r="B77" i="1"/>
  <c r="F76" i="1"/>
  <c r="E76" i="1"/>
  <c r="D76" i="1"/>
  <c r="B76" i="1"/>
  <c r="F75" i="1"/>
  <c r="E75" i="1"/>
  <c r="D75" i="1"/>
  <c r="B75" i="1"/>
  <c r="F74" i="1"/>
  <c r="E74" i="1"/>
  <c r="D74" i="1"/>
  <c r="B74" i="1"/>
  <c r="F73" i="1"/>
  <c r="E73" i="1"/>
  <c r="D73" i="1"/>
  <c r="B73" i="1"/>
  <c r="F72" i="1"/>
  <c r="E72" i="1"/>
  <c r="D72" i="1"/>
  <c r="B72" i="1"/>
  <c r="F71" i="1"/>
  <c r="E71" i="1"/>
  <c r="D71" i="1"/>
  <c r="B71" i="1"/>
  <c r="F70" i="1"/>
  <c r="E70" i="1"/>
  <c r="D70" i="1"/>
  <c r="B70" i="1"/>
  <c r="F69" i="1"/>
  <c r="E69" i="1"/>
  <c r="D69" i="1"/>
  <c r="B69" i="1"/>
  <c r="F68" i="1"/>
  <c r="E68" i="1"/>
  <c r="D68" i="1"/>
  <c r="B68" i="1"/>
  <c r="F67" i="1"/>
  <c r="E67" i="1"/>
  <c r="D67" i="1"/>
  <c r="B67" i="1"/>
  <c r="F66" i="1"/>
  <c r="E66" i="1"/>
  <c r="D66" i="1"/>
  <c r="B66" i="1"/>
  <c r="F65" i="1"/>
  <c r="E65" i="1"/>
  <c r="D65" i="1"/>
  <c r="B65" i="1"/>
  <c r="F64" i="1"/>
  <c r="E64" i="1"/>
  <c r="D64" i="1"/>
  <c r="B64" i="1"/>
  <c r="F63" i="1"/>
  <c r="E63" i="1"/>
  <c r="D63" i="1"/>
  <c r="B63" i="1"/>
  <c r="F62" i="1"/>
  <c r="E62" i="1"/>
  <c r="D62" i="1"/>
  <c r="B62" i="1"/>
  <c r="F61" i="1"/>
  <c r="E61" i="1"/>
  <c r="D61" i="1"/>
  <c r="B61" i="1"/>
  <c r="F60" i="1"/>
  <c r="E60" i="1"/>
  <c r="D60" i="1"/>
  <c r="B60" i="1"/>
  <c r="F59" i="1"/>
  <c r="E59" i="1"/>
  <c r="D59" i="1"/>
  <c r="B59" i="1"/>
  <c r="F58" i="1"/>
  <c r="E58" i="1"/>
  <c r="D58" i="1"/>
  <c r="B58" i="1"/>
  <c r="F57" i="1"/>
  <c r="E57" i="1"/>
  <c r="D57" i="1"/>
  <c r="B57" i="1"/>
  <c r="F56" i="1"/>
  <c r="E56" i="1"/>
  <c r="D56" i="1"/>
  <c r="B56" i="1"/>
  <c r="F55" i="1"/>
  <c r="E55" i="1"/>
  <c r="D55" i="1"/>
  <c r="B55" i="1"/>
  <c r="F54" i="1"/>
  <c r="E54" i="1"/>
  <c r="D54" i="1"/>
  <c r="B54" i="1"/>
  <c r="F53" i="1"/>
  <c r="E53" i="1"/>
  <c r="D53" i="1"/>
  <c r="B53" i="1"/>
  <c r="F52" i="1"/>
  <c r="E52" i="1"/>
  <c r="D52" i="1"/>
  <c r="B52" i="1"/>
  <c r="F51" i="1"/>
  <c r="E51" i="1"/>
  <c r="D51" i="1"/>
  <c r="B51" i="1"/>
  <c r="F50" i="1"/>
  <c r="E50" i="1"/>
  <c r="D50" i="1"/>
  <c r="B50" i="1"/>
  <c r="F49" i="1"/>
  <c r="E49" i="1"/>
  <c r="D49" i="1"/>
  <c r="B49" i="1"/>
  <c r="F48" i="1"/>
  <c r="E48" i="1"/>
  <c r="D48" i="1"/>
  <c r="B48" i="1"/>
  <c r="F47" i="1"/>
  <c r="E47" i="1"/>
  <c r="D47" i="1"/>
  <c r="B47" i="1"/>
  <c r="F46" i="1"/>
  <c r="E46" i="1"/>
  <c r="D46" i="1"/>
  <c r="B46" i="1"/>
  <c r="F45" i="1"/>
  <c r="E45" i="1"/>
  <c r="D45" i="1"/>
  <c r="B45" i="1"/>
  <c r="F44" i="1"/>
  <c r="E44" i="1"/>
  <c r="D44" i="1"/>
  <c r="B44" i="1"/>
  <c r="F43" i="1"/>
  <c r="E43" i="1"/>
  <c r="D43" i="1"/>
  <c r="B43" i="1"/>
  <c r="F42" i="1"/>
  <c r="E42" i="1"/>
  <c r="D42" i="1"/>
  <c r="B42" i="1"/>
  <c r="F41" i="1"/>
  <c r="E41" i="1"/>
  <c r="D41" i="1"/>
  <c r="B41" i="1"/>
  <c r="F40" i="1"/>
  <c r="E40" i="1"/>
  <c r="D40" i="1"/>
  <c r="B40" i="1"/>
  <c r="F39" i="1"/>
  <c r="E39" i="1"/>
  <c r="D39" i="1"/>
  <c r="B39" i="1"/>
  <c r="F38" i="1"/>
  <c r="E38" i="1"/>
  <c r="D38" i="1"/>
  <c r="B38" i="1"/>
  <c r="F37" i="1"/>
  <c r="E37" i="1"/>
  <c r="D37" i="1"/>
  <c r="B37" i="1"/>
  <c r="F36" i="1"/>
  <c r="E36" i="1"/>
  <c r="D36" i="1"/>
  <c r="B36" i="1"/>
  <c r="F35" i="1"/>
  <c r="E35" i="1"/>
  <c r="D35" i="1"/>
  <c r="B35" i="1"/>
  <c r="F34" i="1"/>
  <c r="E34" i="1"/>
  <c r="D34" i="1"/>
  <c r="B34" i="1"/>
  <c r="F33" i="1"/>
  <c r="E33" i="1"/>
  <c r="D33" i="1"/>
  <c r="B33" i="1"/>
  <c r="F32" i="1"/>
  <c r="E32" i="1"/>
  <c r="D32" i="1"/>
  <c r="B32" i="1"/>
  <c r="F31" i="1"/>
  <c r="E31" i="1"/>
  <c r="D31" i="1"/>
  <c r="B31" i="1"/>
  <c r="F30" i="1"/>
  <c r="E30" i="1"/>
  <c r="D30" i="1"/>
  <c r="B30" i="1"/>
  <c r="F29" i="1"/>
  <c r="E29" i="1"/>
  <c r="D29" i="1"/>
  <c r="B29" i="1"/>
  <c r="F28" i="1"/>
  <c r="E28" i="1"/>
  <c r="D28" i="1"/>
  <c r="B28" i="1"/>
  <c r="F27" i="1"/>
  <c r="E27" i="1"/>
  <c r="D27" i="1"/>
  <c r="B27" i="1"/>
  <c r="F26" i="1"/>
  <c r="E26" i="1"/>
  <c r="D26" i="1"/>
  <c r="B26" i="1"/>
  <c r="F25" i="1"/>
  <c r="E25" i="1"/>
  <c r="D25" i="1"/>
  <c r="B25" i="1"/>
  <c r="F24" i="1"/>
  <c r="E24" i="1"/>
  <c r="D24" i="1"/>
  <c r="B24" i="1"/>
  <c r="F23" i="1"/>
  <c r="E23" i="1"/>
  <c r="D23" i="1"/>
  <c r="B23" i="1"/>
  <c r="F22" i="1"/>
  <c r="E22" i="1"/>
  <c r="D22" i="1"/>
  <c r="B22" i="1"/>
  <c r="F21" i="1"/>
  <c r="E21" i="1"/>
  <c r="D21" i="1"/>
  <c r="B21" i="1"/>
  <c r="F20" i="1"/>
  <c r="E20" i="1"/>
  <c r="D20" i="1"/>
  <c r="B20" i="1"/>
  <c r="F19" i="1"/>
  <c r="E19" i="1"/>
  <c r="D19" i="1"/>
  <c r="B19" i="1"/>
  <c r="F18" i="1"/>
  <c r="E18" i="1"/>
  <c r="D18" i="1"/>
  <c r="B18" i="1"/>
  <c r="F17" i="1"/>
  <c r="E17" i="1"/>
  <c r="D17" i="1"/>
  <c r="D21" i="2" s="1"/>
  <c r="G21" i="2" s="1"/>
  <c r="X2" i="2" s="1"/>
  <c r="B17" i="1"/>
  <c r="F16" i="1"/>
  <c r="E16" i="1"/>
  <c r="D16" i="1"/>
  <c r="B16" i="1"/>
  <c r="F15" i="1"/>
  <c r="E15" i="1"/>
  <c r="D15" i="1"/>
  <c r="B15" i="1"/>
  <c r="F14" i="1"/>
  <c r="E14" i="1"/>
  <c r="D14" i="1"/>
  <c r="B14" i="1"/>
  <c r="F13" i="1"/>
  <c r="E13" i="1"/>
  <c r="D13" i="1"/>
  <c r="B13" i="1"/>
  <c r="F12" i="1"/>
  <c r="E12" i="1"/>
  <c r="D12" i="1"/>
  <c r="B12" i="1"/>
  <c r="F11" i="1"/>
  <c r="E11" i="1"/>
  <c r="D11" i="1"/>
  <c r="B11" i="1"/>
  <c r="F10" i="1"/>
  <c r="E10" i="1"/>
  <c r="D10" i="1"/>
  <c r="B10" i="1"/>
  <c r="F9" i="1"/>
  <c r="E9" i="1"/>
  <c r="D9" i="1"/>
  <c r="B9" i="1"/>
  <c r="F8" i="1"/>
  <c r="E8" i="1"/>
  <c r="D8" i="1"/>
  <c r="B8" i="1"/>
  <c r="F7" i="1"/>
  <c r="E7" i="1"/>
  <c r="D7" i="1"/>
  <c r="B7" i="1"/>
  <c r="F6" i="1"/>
  <c r="E6" i="1"/>
  <c r="D6" i="1"/>
  <c r="B6" i="1"/>
  <c r="F5" i="1"/>
  <c r="E5" i="1"/>
  <c r="D5" i="1"/>
  <c r="B5" i="1"/>
  <c r="F4" i="1"/>
  <c r="E4" i="1"/>
  <c r="D4" i="1"/>
  <c r="B4" i="1"/>
  <c r="P2" i="1"/>
  <c r="O2" i="1"/>
  <c r="N2" i="1"/>
  <c r="M2" i="1"/>
  <c r="L2" i="1"/>
  <c r="K2" i="1"/>
  <c r="J2" i="1"/>
  <c r="I2" i="1"/>
  <c r="H2" i="1"/>
  <c r="G2" i="1"/>
  <c r="D2" i="1"/>
  <c r="C2" i="2" s="1"/>
  <c r="E2" i="1" l="1"/>
  <c r="F2" i="1" s="1"/>
  <c r="R3" i="2"/>
  <c r="Z2" i="2"/>
  <c r="Y2" i="2" s="1"/>
  <c r="U3" i="2" s="1"/>
  <c r="W9" i="2"/>
  <c r="B24" i="2"/>
  <c r="D23" i="2"/>
  <c r="C23" i="2"/>
  <c r="AD10" i="2"/>
  <c r="AN5" i="2"/>
  <c r="D24" i="2" l="1"/>
  <c r="C24" i="2"/>
  <c r="G24" i="2"/>
  <c r="B25" i="2"/>
  <c r="S3" i="2"/>
  <c r="W10" i="2"/>
  <c r="R4" i="2"/>
  <c r="AA2" i="2"/>
  <c r="AB2" i="2"/>
  <c r="AF31" i="2" s="1"/>
  <c r="AD11" i="2"/>
  <c r="AN6" i="2"/>
  <c r="R5" i="2" l="1"/>
  <c r="S4" i="2"/>
  <c r="W11" i="2"/>
  <c r="D25" i="2"/>
  <c r="C25" i="2"/>
  <c r="G25" i="2"/>
  <c r="B26" i="2"/>
  <c r="AD12" i="2"/>
  <c r="AN7" i="2"/>
  <c r="W12" i="2" l="1"/>
  <c r="R6" i="2"/>
  <c r="S5" i="2"/>
  <c r="D26" i="2"/>
  <c r="C26" i="2"/>
  <c r="G26" i="2"/>
  <c r="B27" i="2"/>
  <c r="AD13" i="2"/>
  <c r="AN8" i="2"/>
  <c r="W13" i="2" l="1"/>
  <c r="D27" i="2"/>
  <c r="C27" i="2"/>
  <c r="B28" i="2"/>
  <c r="G27" i="2"/>
  <c r="S6" i="2"/>
  <c r="R7" i="2"/>
  <c r="AD14" i="2"/>
  <c r="AN9" i="2"/>
  <c r="D28" i="2" l="1"/>
  <c r="C28" i="2"/>
  <c r="B29" i="2"/>
  <c r="G28" i="2"/>
  <c r="S7" i="2"/>
  <c r="R8" i="2"/>
  <c r="W14" i="2"/>
  <c r="AD15" i="2"/>
  <c r="AN10" i="2"/>
  <c r="W15" i="2" l="1"/>
  <c r="R9" i="2"/>
  <c r="S8" i="2"/>
  <c r="D29" i="2"/>
  <c r="C29" i="2"/>
  <c r="G29" i="2"/>
  <c r="B30" i="2"/>
  <c r="AD16" i="2"/>
  <c r="AN11" i="2"/>
  <c r="D30" i="2" l="1"/>
  <c r="C30" i="2"/>
  <c r="B31" i="2"/>
  <c r="G30" i="2"/>
  <c r="W16" i="2"/>
  <c r="R10" i="2"/>
  <c r="S9" i="2"/>
  <c r="AD17" i="2"/>
  <c r="AN12" i="2"/>
  <c r="W17" i="2" l="1"/>
  <c r="R11" i="2"/>
  <c r="S10" i="2"/>
  <c r="D31" i="2"/>
  <c r="C31" i="2"/>
  <c r="G31" i="2"/>
  <c r="B32" i="2"/>
  <c r="AD18" i="2"/>
  <c r="AN13" i="2"/>
  <c r="S11" i="2" l="1"/>
  <c r="R12" i="2"/>
  <c r="D32" i="2"/>
  <c r="C32" i="2"/>
  <c r="B33" i="2"/>
  <c r="H10" i="2" s="1"/>
  <c r="G32" i="2"/>
  <c r="W18" i="2"/>
  <c r="AD19" i="2"/>
  <c r="AN14" i="2"/>
  <c r="K10" i="2" l="1"/>
  <c r="W19" i="2"/>
  <c r="H18" i="2"/>
  <c r="D33" i="2"/>
  <c r="C33" i="2"/>
  <c r="H3" i="2"/>
  <c r="H17" i="2"/>
  <c r="H11" i="2"/>
  <c r="H4" i="2"/>
  <c r="H13" i="2"/>
  <c r="H15" i="2"/>
  <c r="H16" i="2"/>
  <c r="H6" i="2"/>
  <c r="H7" i="2"/>
  <c r="H12" i="2"/>
  <c r="H2" i="2"/>
  <c r="G33" i="2"/>
  <c r="R13" i="2"/>
  <c r="S12" i="2"/>
  <c r="H14" i="2"/>
  <c r="AD20" i="2"/>
  <c r="AN15" i="2"/>
  <c r="I14" i="2" l="1"/>
  <c r="J14" i="2" s="1"/>
  <c r="K14" i="2"/>
  <c r="K11" i="2"/>
  <c r="M11" i="2" s="1"/>
  <c r="N11" i="2" s="1"/>
  <c r="I11" i="2"/>
  <c r="K12" i="2"/>
  <c r="I12" i="2"/>
  <c r="J12" i="2" s="1"/>
  <c r="K15" i="2"/>
  <c r="I15" i="2"/>
  <c r="J15" i="2" s="1"/>
  <c r="I17" i="2"/>
  <c r="J17" i="2" s="1"/>
  <c r="K17" i="2"/>
  <c r="K18" i="2"/>
  <c r="I18" i="2"/>
  <c r="J18" i="2" s="1"/>
  <c r="I2" i="2"/>
  <c r="J2" i="2" s="1"/>
  <c r="R14" i="2"/>
  <c r="S13" i="2"/>
  <c r="I7" i="2"/>
  <c r="O7" i="2" s="1"/>
  <c r="K7" i="2"/>
  <c r="I13" i="2"/>
  <c r="J13" i="2" s="1"/>
  <c r="K13" i="2"/>
  <c r="I3" i="2"/>
  <c r="K3" i="2"/>
  <c r="M3" i="2" s="1"/>
  <c r="L3" i="2" s="1"/>
  <c r="W20" i="2"/>
  <c r="H19" i="2"/>
  <c r="I16" i="2"/>
  <c r="J16" i="2" s="1"/>
  <c r="K16" i="2"/>
  <c r="K6" i="2"/>
  <c r="I4" i="2"/>
  <c r="O4" i="2" s="1"/>
  <c r="K4" i="2"/>
  <c r="H5" i="2"/>
  <c r="I6" i="2" s="1"/>
  <c r="H8" i="2"/>
  <c r="H9" i="2"/>
  <c r="AD21" i="2"/>
  <c r="AN16" i="2"/>
  <c r="M13" i="2" l="1"/>
  <c r="N13" i="2" s="1"/>
  <c r="M15" i="2"/>
  <c r="N15" i="2" s="1"/>
  <c r="M12" i="2"/>
  <c r="N12" i="2" s="1"/>
  <c r="M4" i="2"/>
  <c r="N4" i="2" s="1"/>
  <c r="O17" i="2"/>
  <c r="M16" i="2"/>
  <c r="N16" i="2" s="1"/>
  <c r="O13" i="2"/>
  <c r="M18" i="2"/>
  <c r="N18" i="2" s="1"/>
  <c r="O2" i="2"/>
  <c r="O15" i="2"/>
  <c r="O3" i="2"/>
  <c r="M7" i="2"/>
  <c r="N7" i="2" s="1"/>
  <c r="M14" i="2"/>
  <c r="N14" i="2" s="1"/>
  <c r="M17" i="2"/>
  <c r="N17" i="2" s="1"/>
  <c r="J6" i="2"/>
  <c r="O6" i="2"/>
  <c r="K9" i="2"/>
  <c r="M10" i="2" s="1"/>
  <c r="N10" i="2" s="1"/>
  <c r="I9" i="2"/>
  <c r="O9" i="2" s="1"/>
  <c r="I10" i="2"/>
  <c r="L4" i="2"/>
  <c r="K19" i="2"/>
  <c r="M19" i="2" s="1"/>
  <c r="N19" i="2" s="1"/>
  <c r="I19" i="2"/>
  <c r="J19" i="2" s="1"/>
  <c r="I8" i="2"/>
  <c r="K8" i="2"/>
  <c r="M8" i="2" s="1"/>
  <c r="N8" i="2" s="1"/>
  <c r="W21" i="2"/>
  <c r="H20" i="2"/>
  <c r="N3" i="2"/>
  <c r="O18" i="2"/>
  <c r="J11" i="2"/>
  <c r="O11" i="2"/>
  <c r="K5" i="2"/>
  <c r="M6" i="2" s="1"/>
  <c r="N6" i="2" s="1"/>
  <c r="I5" i="2"/>
  <c r="O16" i="2"/>
  <c r="J3" i="2"/>
  <c r="Z3" i="2" s="1"/>
  <c r="X3" i="2"/>
  <c r="R15" i="2"/>
  <c r="S14" i="2"/>
  <c r="J4" i="2"/>
  <c r="J7" i="2"/>
  <c r="O12" i="2"/>
  <c r="O14" i="2"/>
  <c r="AN17" i="2"/>
  <c r="Y3" i="2" l="1"/>
  <c r="U4" i="2" s="1"/>
  <c r="Z4" i="2" s="1"/>
  <c r="M5" i="2"/>
  <c r="K20" i="2"/>
  <c r="M20" i="2" s="1"/>
  <c r="N20" i="2" s="1"/>
  <c r="I20" i="2"/>
  <c r="J20" i="2" s="1"/>
  <c r="O19" i="2"/>
  <c r="R16" i="2"/>
  <c r="S15" i="2"/>
  <c r="W22" i="2"/>
  <c r="H21" i="2"/>
  <c r="J8" i="2"/>
  <c r="O10" i="2"/>
  <c r="J10" i="2"/>
  <c r="O8" i="2"/>
  <c r="M9" i="2"/>
  <c r="N9" i="2" s="1"/>
  <c r="J5" i="2"/>
  <c r="O5" i="2"/>
  <c r="J9" i="2"/>
  <c r="AN18" i="2"/>
  <c r="AB3" i="2" l="1"/>
  <c r="X4" i="2"/>
  <c r="Y4" i="2" s="1"/>
  <c r="U5" i="2" s="1"/>
  <c r="AA3" i="2"/>
  <c r="K21" i="2"/>
  <c r="M21" i="2" s="1"/>
  <c r="I21" i="2"/>
  <c r="J21" i="2" s="1"/>
  <c r="O20" i="2"/>
  <c r="W23" i="2"/>
  <c r="H22" i="2"/>
  <c r="L20" i="2"/>
  <c r="N5" i="2"/>
  <c r="L12" i="2"/>
  <c r="L19" i="2"/>
  <c r="L14" i="2"/>
  <c r="L18" i="2"/>
  <c r="L10" i="2"/>
  <c r="L5" i="2"/>
  <c r="L9" i="2"/>
  <c r="L8" i="2"/>
  <c r="L17" i="2"/>
  <c r="L13" i="2"/>
  <c r="L11" i="2"/>
  <c r="L6" i="2"/>
  <c r="L7" i="2"/>
  <c r="L16" i="2"/>
  <c r="L15" i="2"/>
  <c r="S16" i="2"/>
  <c r="R17" i="2"/>
  <c r="AN19" i="2"/>
  <c r="Z5" i="2" l="1"/>
  <c r="X5" i="2"/>
  <c r="AA4" i="2"/>
  <c r="AB4" i="2"/>
  <c r="N21" i="2"/>
  <c r="L21" i="2"/>
  <c r="R18" i="2"/>
  <c r="S17" i="2"/>
  <c r="K22" i="2"/>
  <c r="M22" i="2" s="1"/>
  <c r="I22" i="2"/>
  <c r="J22" i="2" s="1"/>
  <c r="W24" i="2"/>
  <c r="H23" i="2"/>
  <c r="O21" i="2"/>
  <c r="AN20" i="2"/>
  <c r="Y5" i="2" l="1"/>
  <c r="U6" i="2" s="1"/>
  <c r="N22" i="2"/>
  <c r="L22" i="2"/>
  <c r="K23" i="2"/>
  <c r="M23" i="2" s="1"/>
  <c r="I23" i="2"/>
  <c r="J23" i="2" s="1"/>
  <c r="S18" i="2"/>
  <c r="R19" i="2"/>
  <c r="W25" i="2"/>
  <c r="H24" i="2"/>
  <c r="O22" i="2"/>
  <c r="AN21" i="2"/>
  <c r="Z6" i="2" l="1"/>
  <c r="AA5" i="2"/>
  <c r="X6" i="2"/>
  <c r="AB5" i="2"/>
  <c r="O23" i="2"/>
  <c r="N23" i="2"/>
  <c r="L23" i="2"/>
  <c r="I24" i="2"/>
  <c r="J24" i="2" s="1"/>
  <c r="K24" i="2"/>
  <c r="M24" i="2" s="1"/>
  <c r="N24" i="2" s="1"/>
  <c r="W26" i="2"/>
  <c r="H25" i="2"/>
  <c r="S19" i="2"/>
  <c r="R20" i="2"/>
  <c r="AN22" i="2"/>
  <c r="Y6" i="2" l="1"/>
  <c r="U7" i="2" s="1"/>
  <c r="O24" i="2"/>
  <c r="W27" i="2"/>
  <c r="H26" i="2"/>
  <c r="L24" i="2"/>
  <c r="R21" i="2"/>
  <c r="S20" i="2"/>
  <c r="K25" i="2"/>
  <c r="M25" i="2" s="1"/>
  <c r="I25" i="2"/>
  <c r="J25" i="2" s="1"/>
  <c r="AN23" i="2"/>
  <c r="X7" i="2" l="1"/>
  <c r="Z7" i="2"/>
  <c r="AA6" i="2"/>
  <c r="AB6" i="2"/>
  <c r="N25" i="2"/>
  <c r="L25" i="2"/>
  <c r="O25" i="2"/>
  <c r="K26" i="2"/>
  <c r="M26" i="2" s="1"/>
  <c r="N26" i="2" s="1"/>
  <c r="I26" i="2"/>
  <c r="J26" i="2" s="1"/>
  <c r="R22" i="2"/>
  <c r="S21" i="2"/>
  <c r="W28" i="2"/>
  <c r="H27" i="2"/>
  <c r="AN24" i="2"/>
  <c r="Y7" i="2" l="1"/>
  <c r="U8" i="2" s="1"/>
  <c r="AA7" i="2" s="1"/>
  <c r="I27" i="2"/>
  <c r="J27" i="2" s="1"/>
  <c r="K27" i="2"/>
  <c r="M27" i="2" s="1"/>
  <c r="N27" i="2" s="1"/>
  <c r="L26" i="2"/>
  <c r="O26" i="2"/>
  <c r="W29" i="2"/>
  <c r="H28" i="2"/>
  <c r="R23" i="2"/>
  <c r="S22" i="2"/>
  <c r="AN25" i="2"/>
  <c r="AB7" i="2" l="1"/>
  <c r="Z8" i="2"/>
  <c r="X8" i="2"/>
  <c r="O27" i="2"/>
  <c r="W30" i="2"/>
  <c r="H29" i="2"/>
  <c r="R24" i="2"/>
  <c r="S23" i="2"/>
  <c r="K28" i="2"/>
  <c r="M28" i="2" s="1"/>
  <c r="I28" i="2"/>
  <c r="J28" i="2" s="1"/>
  <c r="L27" i="2"/>
  <c r="AN26" i="2"/>
  <c r="Y8" i="2" l="1"/>
  <c r="U9" i="2" s="1"/>
  <c r="AA8" i="2" s="1"/>
  <c r="O28" i="2"/>
  <c r="N28" i="2"/>
  <c r="L28" i="2"/>
  <c r="K29" i="2"/>
  <c r="M29" i="2" s="1"/>
  <c r="I29" i="2"/>
  <c r="J29" i="2" s="1"/>
  <c r="S24" i="2"/>
  <c r="R25" i="2"/>
  <c r="W31" i="2"/>
  <c r="H30" i="2"/>
  <c r="AN27" i="2"/>
  <c r="Z9" i="2" l="1"/>
  <c r="X9" i="2"/>
  <c r="AB8" i="2"/>
  <c r="O29" i="2"/>
  <c r="N29" i="2"/>
  <c r="L29" i="2"/>
  <c r="I30" i="2"/>
  <c r="J30" i="2" s="1"/>
  <c r="K30" i="2"/>
  <c r="M30" i="2" s="1"/>
  <c r="W32" i="2"/>
  <c r="H31" i="2"/>
  <c r="R26" i="2"/>
  <c r="S25" i="2"/>
  <c r="AN28" i="2"/>
  <c r="Y9" i="2" l="1"/>
  <c r="U10" i="2" s="1"/>
  <c r="AA9" i="2" s="1"/>
  <c r="N30" i="2"/>
  <c r="L30" i="2"/>
  <c r="W33" i="2"/>
  <c r="H32" i="2"/>
  <c r="O30" i="2"/>
  <c r="R27" i="2"/>
  <c r="S26" i="2"/>
  <c r="K31" i="2"/>
  <c r="M31" i="2" s="1"/>
  <c r="I31" i="2"/>
  <c r="J31" i="2" s="1"/>
  <c r="AN29" i="2"/>
  <c r="Z10" i="2" l="1"/>
  <c r="AB9" i="2"/>
  <c r="X10" i="2"/>
  <c r="N31" i="2"/>
  <c r="L31" i="2"/>
  <c r="O31" i="2"/>
  <c r="I32" i="2"/>
  <c r="J32" i="2" s="1"/>
  <c r="K32" i="2"/>
  <c r="M32" i="2" s="1"/>
  <c r="S27" i="2"/>
  <c r="R28" i="2"/>
  <c r="W34" i="2"/>
  <c r="H33" i="2"/>
  <c r="AN30" i="2"/>
  <c r="Y10" i="2" l="1"/>
  <c r="U11" i="2" s="1"/>
  <c r="AA10" i="2" s="1"/>
  <c r="N32" i="2"/>
  <c r="L32" i="2"/>
  <c r="R29" i="2"/>
  <c r="S28" i="2"/>
  <c r="K33" i="2"/>
  <c r="M33" i="2" s="1"/>
  <c r="N33" i="2" s="1"/>
  <c r="I33" i="2"/>
  <c r="J33" i="2" s="1"/>
  <c r="O32" i="2"/>
  <c r="W35" i="2"/>
  <c r="H34" i="2"/>
  <c r="AN31" i="2"/>
  <c r="Z11" i="2" l="1"/>
  <c r="X11" i="2"/>
  <c r="AB10" i="2"/>
  <c r="I34" i="2"/>
  <c r="J34" i="2" s="1"/>
  <c r="K34" i="2"/>
  <c r="M34" i="2" s="1"/>
  <c r="W36" i="2"/>
  <c r="H35" i="2"/>
  <c r="S29" i="2"/>
  <c r="R30" i="2"/>
  <c r="L33" i="2"/>
  <c r="O33" i="2"/>
  <c r="AN32" i="2"/>
  <c r="Y11" i="2" l="1"/>
  <c r="U12" i="2" s="1"/>
  <c r="AA11" i="2" s="1"/>
  <c r="N34" i="2"/>
  <c r="L34" i="2"/>
  <c r="K35" i="2"/>
  <c r="M35" i="2" s="1"/>
  <c r="I35" i="2"/>
  <c r="J35" i="2" s="1"/>
  <c r="S30" i="2"/>
  <c r="R31" i="2"/>
  <c r="W37" i="2"/>
  <c r="H36" i="2"/>
  <c r="O34" i="2"/>
  <c r="AN33" i="2"/>
  <c r="X12" i="2" l="1"/>
  <c r="Z12" i="2"/>
  <c r="AB11" i="2"/>
  <c r="N35" i="2"/>
  <c r="L35" i="2"/>
  <c r="I36" i="2"/>
  <c r="J36" i="2" s="1"/>
  <c r="K36" i="2"/>
  <c r="M36" i="2" s="1"/>
  <c r="W38" i="2"/>
  <c r="H37" i="2"/>
  <c r="S31" i="2"/>
  <c r="R32" i="2"/>
  <c r="O35" i="2"/>
  <c r="AN34" i="2"/>
  <c r="Y12" i="2" l="1"/>
  <c r="U13" i="2" s="1"/>
  <c r="X13" i="2" s="1"/>
  <c r="N36" i="2"/>
  <c r="L36" i="2"/>
  <c r="W39" i="2"/>
  <c r="H38" i="2"/>
  <c r="O36" i="2"/>
  <c r="S32" i="2"/>
  <c r="R33" i="2"/>
  <c r="I37" i="2"/>
  <c r="J37" i="2" s="1"/>
  <c r="K37" i="2"/>
  <c r="M37" i="2" s="1"/>
  <c r="AN35" i="2"/>
  <c r="AB12" i="2" l="1"/>
  <c r="Z13" i="2"/>
  <c r="Y13" i="2" s="1"/>
  <c r="U14" i="2" s="1"/>
  <c r="Z14" i="2" s="1"/>
  <c r="AA12" i="2"/>
  <c r="O37" i="2"/>
  <c r="N37" i="2"/>
  <c r="L37" i="2"/>
  <c r="R34" i="2"/>
  <c r="S33" i="2"/>
  <c r="K38" i="2"/>
  <c r="M38" i="2" s="1"/>
  <c r="I38" i="2"/>
  <c r="J38" i="2" s="1"/>
  <c r="W40" i="2"/>
  <c r="H39" i="2"/>
  <c r="AN36" i="2"/>
  <c r="AB13" i="2" l="1"/>
  <c r="X14" i="2"/>
  <c r="Y14" i="2" s="1"/>
  <c r="U15" i="2" s="1"/>
  <c r="AA14" i="2" s="1"/>
  <c r="AA13" i="2"/>
  <c r="N38" i="2"/>
  <c r="L38" i="2"/>
  <c r="O38" i="2"/>
  <c r="I39" i="2"/>
  <c r="J39" i="2" s="1"/>
  <c r="K39" i="2"/>
  <c r="M39" i="2" s="1"/>
  <c r="S34" i="2"/>
  <c r="R35" i="2"/>
  <c r="W41" i="2"/>
  <c r="H40" i="2"/>
  <c r="AN37" i="2"/>
  <c r="X15" i="2" l="1"/>
  <c r="Z15" i="2"/>
  <c r="AB14" i="2"/>
  <c r="O39" i="2"/>
  <c r="N39" i="2"/>
  <c r="L39" i="2"/>
  <c r="I40" i="2"/>
  <c r="J40" i="2" s="1"/>
  <c r="K40" i="2"/>
  <c r="M40" i="2" s="1"/>
  <c r="W42" i="2"/>
  <c r="H41" i="2"/>
  <c r="R36" i="2"/>
  <c r="S35" i="2"/>
  <c r="AN38" i="2"/>
  <c r="Y15" i="2" l="1"/>
  <c r="U16" i="2" s="1"/>
  <c r="AA15" i="2" s="1"/>
  <c r="O40" i="2"/>
  <c r="N40" i="2"/>
  <c r="L40" i="2"/>
  <c r="I41" i="2"/>
  <c r="J41" i="2" s="1"/>
  <c r="K41" i="2"/>
  <c r="M41" i="2" s="1"/>
  <c r="R37" i="2"/>
  <c r="S36" i="2"/>
  <c r="W43" i="2"/>
  <c r="H42" i="2"/>
  <c r="AN39" i="2"/>
  <c r="Z16" i="2" l="1"/>
  <c r="X16" i="2"/>
  <c r="AB15" i="2"/>
  <c r="N41" i="2"/>
  <c r="L41" i="2"/>
  <c r="S37" i="2"/>
  <c r="R38" i="2"/>
  <c r="O41" i="2"/>
  <c r="K42" i="2"/>
  <c r="M42" i="2" s="1"/>
  <c r="N42" i="2" s="1"/>
  <c r="I42" i="2"/>
  <c r="J42" i="2" s="1"/>
  <c r="W44" i="2"/>
  <c r="H43" i="2"/>
  <c r="AN40" i="2"/>
  <c r="Y16" i="2" l="1"/>
  <c r="U17" i="2" s="1"/>
  <c r="O42" i="2"/>
  <c r="W45" i="2"/>
  <c r="H44" i="2"/>
  <c r="I43" i="2"/>
  <c r="J43" i="2" s="1"/>
  <c r="K43" i="2"/>
  <c r="M43" i="2" s="1"/>
  <c r="L42" i="2"/>
  <c r="S38" i="2"/>
  <c r="R39" i="2"/>
  <c r="AN41" i="2"/>
  <c r="X17" i="2" l="1"/>
  <c r="Z17" i="2"/>
  <c r="AA16" i="2"/>
  <c r="AB16" i="2"/>
  <c r="O43" i="2"/>
  <c r="N43" i="2"/>
  <c r="L43" i="2"/>
  <c r="I44" i="2"/>
  <c r="J44" i="2" s="1"/>
  <c r="K44" i="2"/>
  <c r="M44" i="2" s="1"/>
  <c r="N44" i="2" s="1"/>
  <c r="R40" i="2"/>
  <c r="S39" i="2"/>
  <c r="W46" i="2"/>
  <c r="H45" i="2"/>
  <c r="Y17" i="2" l="1"/>
  <c r="U18" i="2" s="1"/>
  <c r="X18" i="2" s="1"/>
  <c r="I45" i="2"/>
  <c r="J45" i="2" s="1"/>
  <c r="K45" i="2"/>
  <c r="M45" i="2" s="1"/>
  <c r="L44" i="2"/>
  <c r="W47" i="2"/>
  <c r="H46" i="2"/>
  <c r="R41" i="2"/>
  <c r="S40" i="2"/>
  <c r="O44" i="2"/>
  <c r="AB17" i="2" l="1"/>
  <c r="AA17" i="2"/>
  <c r="Z18" i="2"/>
  <c r="Y18" i="2" s="1"/>
  <c r="U19" i="2" s="1"/>
  <c r="X19" i="2" s="1"/>
  <c r="N45" i="2"/>
  <c r="L45" i="2"/>
  <c r="R42" i="2"/>
  <c r="S41" i="2"/>
  <c r="W48" i="2"/>
  <c r="H47" i="2"/>
  <c r="O45" i="2"/>
  <c r="I46" i="2"/>
  <c r="J46" i="2" s="1"/>
  <c r="K46" i="2"/>
  <c r="M46" i="2" s="1"/>
  <c r="AB18" i="2" l="1"/>
  <c r="AA18" i="2"/>
  <c r="Z19" i="2"/>
  <c r="Y19" i="2" s="1"/>
  <c r="U20" i="2" s="1"/>
  <c r="AA19" i="2" s="1"/>
  <c r="N46" i="2"/>
  <c r="L46" i="2"/>
  <c r="R43" i="2"/>
  <c r="S42" i="2"/>
  <c r="K47" i="2"/>
  <c r="M47" i="2" s="1"/>
  <c r="I47" i="2"/>
  <c r="J47" i="2" s="1"/>
  <c r="O46" i="2"/>
  <c r="W49" i="2"/>
  <c r="H48" i="2"/>
  <c r="AB19" i="2" l="1"/>
  <c r="X20" i="2"/>
  <c r="Z20" i="2"/>
  <c r="N47" i="2"/>
  <c r="L47" i="2"/>
  <c r="K48" i="2"/>
  <c r="M48" i="2" s="1"/>
  <c r="N48" i="2" s="1"/>
  <c r="I48" i="2"/>
  <c r="J48" i="2" s="1"/>
  <c r="W50" i="2"/>
  <c r="H49" i="2"/>
  <c r="R44" i="2"/>
  <c r="S43" i="2"/>
  <c r="O47" i="2"/>
  <c r="Y20" i="2" l="1"/>
  <c r="U21" i="2" s="1"/>
  <c r="AA20" i="2" s="1"/>
  <c r="W51" i="2"/>
  <c r="H50" i="2"/>
  <c r="R45" i="2"/>
  <c r="S44" i="2"/>
  <c r="O48" i="2"/>
  <c r="K49" i="2"/>
  <c r="M49" i="2" s="1"/>
  <c r="N49" i="2" s="1"/>
  <c r="I49" i="2"/>
  <c r="J49" i="2" s="1"/>
  <c r="L48" i="2"/>
  <c r="AB20" i="2" l="1"/>
  <c r="Z21" i="2"/>
  <c r="X21" i="2"/>
  <c r="O49" i="2"/>
  <c r="S45" i="2"/>
  <c r="R46" i="2"/>
  <c r="K50" i="2"/>
  <c r="M50" i="2" s="1"/>
  <c r="I50" i="2"/>
  <c r="J50" i="2" s="1"/>
  <c r="L49" i="2"/>
  <c r="W52" i="2"/>
  <c r="H51" i="2"/>
  <c r="Y21" i="2" l="1"/>
  <c r="U22" i="2" s="1"/>
  <c r="Z22" i="2" s="1"/>
  <c r="O50" i="2"/>
  <c r="N50" i="2"/>
  <c r="L50" i="2"/>
  <c r="K51" i="2"/>
  <c r="M51" i="2" s="1"/>
  <c r="I51" i="2"/>
  <c r="J51" i="2" s="1"/>
  <c r="R47" i="2"/>
  <c r="S46" i="2"/>
  <c r="W53" i="2"/>
  <c r="H52" i="2"/>
  <c r="AB21" i="2" l="1"/>
  <c r="AA21" i="2"/>
  <c r="X22" i="2"/>
  <c r="Y22" i="2" s="1"/>
  <c r="U23" i="2" s="1"/>
  <c r="AA22" i="2" s="1"/>
  <c r="N51" i="2"/>
  <c r="L51" i="2"/>
  <c r="S47" i="2"/>
  <c r="R48" i="2"/>
  <c r="K52" i="2"/>
  <c r="M52" i="2" s="1"/>
  <c r="N52" i="2" s="1"/>
  <c r="I52" i="2"/>
  <c r="J52" i="2" s="1"/>
  <c r="O51" i="2"/>
  <c r="W54" i="2"/>
  <c r="H53" i="2"/>
  <c r="AB22" i="2" l="1"/>
  <c r="X23" i="2"/>
  <c r="Z23" i="2"/>
  <c r="I53" i="2"/>
  <c r="J53" i="2" s="1"/>
  <c r="K53" i="2"/>
  <c r="M53" i="2" s="1"/>
  <c r="R49" i="2"/>
  <c r="S48" i="2"/>
  <c r="W55" i="2"/>
  <c r="H54" i="2"/>
  <c r="O52" i="2"/>
  <c r="L52" i="2"/>
  <c r="Y23" i="2" l="1"/>
  <c r="U24" i="2" s="1"/>
  <c r="X24" i="2" s="1"/>
  <c r="O53" i="2"/>
  <c r="N53" i="2"/>
  <c r="L53" i="2"/>
  <c r="W56" i="2"/>
  <c r="H55" i="2"/>
  <c r="R50" i="2"/>
  <c r="S49" i="2"/>
  <c r="K54" i="2"/>
  <c r="M54" i="2" s="1"/>
  <c r="I54" i="2"/>
  <c r="J54" i="2" s="1"/>
  <c r="AB23" i="2" l="1"/>
  <c r="AA23" i="2"/>
  <c r="Z24" i="2"/>
  <c r="Y24" i="2" s="1"/>
  <c r="U25" i="2" s="1"/>
  <c r="Z25" i="2" s="1"/>
  <c r="N54" i="2"/>
  <c r="L54" i="2"/>
  <c r="I55" i="2"/>
  <c r="J55" i="2" s="1"/>
  <c r="K55" i="2"/>
  <c r="M55" i="2" s="1"/>
  <c r="O54" i="2"/>
  <c r="W57" i="2"/>
  <c r="H56" i="2"/>
  <c r="S50" i="2"/>
  <c r="R51" i="2"/>
  <c r="X25" i="2" l="1"/>
  <c r="Y25" i="2" s="1"/>
  <c r="U26" i="2" s="1"/>
  <c r="AA25" i="2" s="1"/>
  <c r="AB24" i="2"/>
  <c r="AA24" i="2"/>
  <c r="O55" i="2"/>
  <c r="N55" i="2"/>
  <c r="L55" i="2"/>
  <c r="S51" i="2"/>
  <c r="R52" i="2"/>
  <c r="I56" i="2"/>
  <c r="J56" i="2" s="1"/>
  <c r="K56" i="2"/>
  <c r="M56" i="2" s="1"/>
  <c r="W58" i="2"/>
  <c r="H57" i="2"/>
  <c r="X26" i="2" l="1"/>
  <c r="Z26" i="2"/>
  <c r="AB25" i="2"/>
  <c r="N56" i="2"/>
  <c r="L56" i="2"/>
  <c r="O56" i="2"/>
  <c r="R53" i="2"/>
  <c r="S52" i="2"/>
  <c r="I57" i="2"/>
  <c r="J57" i="2" s="1"/>
  <c r="K57" i="2"/>
  <c r="M57" i="2" s="1"/>
  <c r="W59" i="2"/>
  <c r="H58" i="2"/>
  <c r="Y26" i="2" l="1"/>
  <c r="U27" i="2" s="1"/>
  <c r="Z27" i="2" s="1"/>
  <c r="O57" i="2"/>
  <c r="N57" i="2"/>
  <c r="L57" i="2"/>
  <c r="K58" i="2"/>
  <c r="M58" i="2" s="1"/>
  <c r="I58" i="2"/>
  <c r="J58" i="2" s="1"/>
  <c r="R54" i="2"/>
  <c r="S53" i="2"/>
  <c r="W60" i="2"/>
  <c r="H59" i="2"/>
  <c r="X27" i="2" l="1"/>
  <c r="Y27" i="2" s="1"/>
  <c r="U28" i="2" s="1"/>
  <c r="Z28" i="2" s="1"/>
  <c r="AB26" i="2"/>
  <c r="AA26" i="2"/>
  <c r="N58" i="2"/>
  <c r="L58" i="2"/>
  <c r="S54" i="2"/>
  <c r="R55" i="2"/>
  <c r="K59" i="2"/>
  <c r="M59" i="2" s="1"/>
  <c r="N59" i="2" s="1"/>
  <c r="I59" i="2"/>
  <c r="J59" i="2" s="1"/>
  <c r="W61" i="2"/>
  <c r="H60" i="2"/>
  <c r="O58" i="2"/>
  <c r="AA27" i="2" l="1"/>
  <c r="AB27" i="2"/>
  <c r="X28" i="2"/>
  <c r="Y28" i="2" s="1"/>
  <c r="U29" i="2" s="1"/>
  <c r="Z29" i="2" s="1"/>
  <c r="O59" i="2"/>
  <c r="L59" i="2"/>
  <c r="S55" i="2"/>
  <c r="R56" i="2"/>
  <c r="K60" i="2"/>
  <c r="M60" i="2" s="1"/>
  <c r="N60" i="2" s="1"/>
  <c r="I60" i="2"/>
  <c r="J60" i="2" s="1"/>
  <c r="W62" i="2"/>
  <c r="H61" i="2"/>
  <c r="X29" i="2" l="1"/>
  <c r="Y29" i="2" s="1"/>
  <c r="U30" i="2" s="1"/>
  <c r="AA29" i="2" s="1"/>
  <c r="AB28" i="2"/>
  <c r="AA28" i="2"/>
  <c r="W63" i="2"/>
  <c r="H62" i="2"/>
  <c r="L60" i="2"/>
  <c r="O60" i="2"/>
  <c r="R57" i="2"/>
  <c r="S56" i="2"/>
  <c r="I61" i="2"/>
  <c r="J61" i="2" s="1"/>
  <c r="K61" i="2"/>
  <c r="M61" i="2" s="1"/>
  <c r="AB29" i="2" l="1"/>
  <c r="X30" i="2"/>
  <c r="Y30" i="2" s="1"/>
  <c r="U31" i="2" s="1"/>
  <c r="Z30" i="2"/>
  <c r="O61" i="2"/>
  <c r="N61" i="2"/>
  <c r="L61" i="2"/>
  <c r="K62" i="2"/>
  <c r="M62" i="2" s="1"/>
  <c r="N62" i="2" s="1"/>
  <c r="I62" i="2"/>
  <c r="J62" i="2" s="1"/>
  <c r="S57" i="2"/>
  <c r="R58" i="2"/>
  <c r="W64" i="2"/>
  <c r="H63" i="2"/>
  <c r="O62" i="2" l="1"/>
  <c r="AB30" i="2"/>
  <c r="AA30" i="2"/>
  <c r="Z31" i="2"/>
  <c r="X31" i="2"/>
  <c r="K63" i="2"/>
  <c r="M63" i="2" s="1"/>
  <c r="I63" i="2"/>
  <c r="J63" i="2" s="1"/>
  <c r="W65" i="2"/>
  <c r="H64" i="2"/>
  <c r="S58" i="2"/>
  <c r="R59" i="2"/>
  <c r="L62" i="2"/>
  <c r="O63" i="2" l="1"/>
  <c r="Y31" i="2"/>
  <c r="U32" i="2" s="1"/>
  <c r="N63" i="2"/>
  <c r="L63" i="2"/>
  <c r="K64" i="2"/>
  <c r="M64" i="2" s="1"/>
  <c r="I64" i="2"/>
  <c r="J64" i="2" s="1"/>
  <c r="W66" i="2"/>
  <c r="H65" i="2"/>
  <c r="S59" i="2"/>
  <c r="R60" i="2"/>
  <c r="O64" i="2" l="1"/>
  <c r="AB31" i="2"/>
  <c r="Z32" i="2"/>
  <c r="X32" i="2"/>
  <c r="AA31" i="2"/>
  <c r="N64" i="2"/>
  <c r="L64" i="2"/>
  <c r="W67" i="2"/>
  <c r="H66" i="2"/>
  <c r="R61" i="2"/>
  <c r="S60" i="2"/>
  <c r="K65" i="2"/>
  <c r="M65" i="2" s="1"/>
  <c r="N65" i="2" s="1"/>
  <c r="I65" i="2"/>
  <c r="J65" i="2" s="1"/>
  <c r="Y32" i="2" l="1"/>
  <c r="U33" i="2" s="1"/>
  <c r="O65" i="2"/>
  <c r="K66" i="2"/>
  <c r="M66" i="2" s="1"/>
  <c r="I66" i="2"/>
  <c r="J66" i="2" s="1"/>
  <c r="W68" i="2"/>
  <c r="H67" i="2"/>
  <c r="L65" i="2"/>
  <c r="S61" i="2"/>
  <c r="R62" i="2"/>
  <c r="AB32" i="2" l="1"/>
  <c r="X33" i="2"/>
  <c r="AA32" i="2"/>
  <c r="Z33" i="2"/>
  <c r="N66" i="2"/>
  <c r="L66" i="2"/>
  <c r="I67" i="2"/>
  <c r="J67" i="2" s="1"/>
  <c r="K67" i="2"/>
  <c r="M67" i="2" s="1"/>
  <c r="S62" i="2"/>
  <c r="R63" i="2"/>
  <c r="W69" i="2"/>
  <c r="H68" i="2"/>
  <c r="O66" i="2"/>
  <c r="O67" i="2" l="1"/>
  <c r="Y33" i="2"/>
  <c r="U34" i="2" s="1"/>
  <c r="N67" i="2"/>
  <c r="L67" i="2"/>
  <c r="K68" i="2"/>
  <c r="M68" i="2" s="1"/>
  <c r="N68" i="2" s="1"/>
  <c r="I68" i="2"/>
  <c r="J68" i="2" s="1"/>
  <c r="W70" i="2"/>
  <c r="H69" i="2"/>
  <c r="R64" i="2"/>
  <c r="S63" i="2"/>
  <c r="AB33" i="2" l="1"/>
  <c r="AA33" i="2"/>
  <c r="X34" i="2"/>
  <c r="Z34" i="2"/>
  <c r="L68" i="2"/>
  <c r="W71" i="2"/>
  <c r="H70" i="2"/>
  <c r="R65" i="2"/>
  <c r="S64" i="2"/>
  <c r="I69" i="2"/>
  <c r="J69" i="2" s="1"/>
  <c r="K69" i="2"/>
  <c r="M69" i="2" s="1"/>
  <c r="O68" i="2"/>
  <c r="Y34" i="2" l="1"/>
  <c r="U35" i="2" s="1"/>
  <c r="N69" i="2"/>
  <c r="L69" i="2"/>
  <c r="S65" i="2"/>
  <c r="R66" i="2"/>
  <c r="K70" i="2"/>
  <c r="M70" i="2" s="1"/>
  <c r="I70" i="2"/>
  <c r="J70" i="2" s="1"/>
  <c r="O69" i="2"/>
  <c r="W72" i="2"/>
  <c r="H71" i="2"/>
  <c r="AB34" i="2" l="1"/>
  <c r="Z35" i="2"/>
  <c r="X35" i="2"/>
  <c r="AA34" i="2"/>
  <c r="N70" i="2"/>
  <c r="L70" i="2"/>
  <c r="I71" i="2"/>
  <c r="J71" i="2" s="1"/>
  <c r="K71" i="2"/>
  <c r="M71" i="2" s="1"/>
  <c r="R67" i="2"/>
  <c r="S66" i="2"/>
  <c r="W73" i="2"/>
  <c r="H72" i="2"/>
  <c r="O70" i="2"/>
  <c r="Y35" i="2" l="1"/>
  <c r="U36" i="2" s="1"/>
  <c r="O71" i="2"/>
  <c r="N71" i="2"/>
  <c r="L71" i="2"/>
  <c r="W74" i="2"/>
  <c r="H73" i="2"/>
  <c r="R68" i="2"/>
  <c r="S67" i="2"/>
  <c r="I72" i="2"/>
  <c r="J72" i="2" s="1"/>
  <c r="K72" i="2"/>
  <c r="M72" i="2" s="1"/>
  <c r="X36" i="2" l="1"/>
  <c r="Z36" i="2"/>
  <c r="AA35" i="2"/>
  <c r="AB35" i="2"/>
  <c r="N72" i="2"/>
  <c r="L72" i="2"/>
  <c r="O72" i="2"/>
  <c r="K73" i="2"/>
  <c r="M73" i="2" s="1"/>
  <c r="I73" i="2"/>
  <c r="J73" i="2" s="1"/>
  <c r="W75" i="2"/>
  <c r="H74" i="2"/>
  <c r="R69" i="2"/>
  <c r="S68" i="2"/>
  <c r="Y36" i="2" l="1"/>
  <c r="U37" i="2" s="1"/>
  <c r="Z37" i="2" s="1"/>
  <c r="N73" i="2"/>
  <c r="L73" i="2"/>
  <c r="R70" i="2"/>
  <c r="S69" i="2"/>
  <c r="K74" i="2"/>
  <c r="M74" i="2" s="1"/>
  <c r="I74" i="2"/>
  <c r="J74" i="2" s="1"/>
  <c r="W76" i="2"/>
  <c r="H75" i="2"/>
  <c r="O73" i="2"/>
  <c r="AB36" i="2" l="1"/>
  <c r="X37" i="2"/>
  <c r="Y37" i="2" s="1"/>
  <c r="U38" i="2" s="1"/>
  <c r="AA36" i="2"/>
  <c r="N74" i="2"/>
  <c r="L74" i="2"/>
  <c r="K75" i="2"/>
  <c r="M75" i="2" s="1"/>
  <c r="I75" i="2"/>
  <c r="J75" i="2" s="1"/>
  <c r="S70" i="2"/>
  <c r="R71" i="2"/>
  <c r="W77" i="2"/>
  <c r="H76" i="2"/>
  <c r="O74" i="2"/>
  <c r="AB37" i="2" l="1"/>
  <c r="X38" i="2"/>
  <c r="Z38" i="2"/>
  <c r="AA37" i="2"/>
  <c r="N75" i="2"/>
  <c r="L75" i="2"/>
  <c r="K76" i="2"/>
  <c r="M76" i="2" s="1"/>
  <c r="N76" i="2" s="1"/>
  <c r="I76" i="2"/>
  <c r="J76" i="2" s="1"/>
  <c r="W78" i="2"/>
  <c r="H77" i="2"/>
  <c r="R72" i="2"/>
  <c r="S71" i="2"/>
  <c r="O75" i="2"/>
  <c r="Y38" i="2" l="1"/>
  <c r="U39" i="2" s="1"/>
  <c r="O76" i="2"/>
  <c r="L76" i="2"/>
  <c r="W79" i="2"/>
  <c r="H78" i="2"/>
  <c r="R73" i="2"/>
  <c r="S72" i="2"/>
  <c r="I77" i="2"/>
  <c r="J77" i="2" s="1"/>
  <c r="K77" i="2"/>
  <c r="M77" i="2" s="1"/>
  <c r="AB38" i="2" l="1"/>
  <c r="Z39" i="2"/>
  <c r="X39" i="2"/>
  <c r="AA38" i="2"/>
  <c r="N77" i="2"/>
  <c r="L77" i="2"/>
  <c r="O77" i="2"/>
  <c r="S73" i="2"/>
  <c r="R74" i="2"/>
  <c r="K78" i="2"/>
  <c r="M78" i="2" s="1"/>
  <c r="I78" i="2"/>
  <c r="J78" i="2" s="1"/>
  <c r="W80" i="2"/>
  <c r="H79" i="2"/>
  <c r="Y39" i="2" l="1"/>
  <c r="U40" i="2" s="1"/>
  <c r="Z40" i="2" s="1"/>
  <c r="N78" i="2"/>
  <c r="L78" i="2"/>
  <c r="K79" i="2"/>
  <c r="M79" i="2" s="1"/>
  <c r="I79" i="2"/>
  <c r="J79" i="2" s="1"/>
  <c r="W81" i="2"/>
  <c r="H80" i="2"/>
  <c r="O78" i="2"/>
  <c r="S74" i="2"/>
  <c r="R75" i="2"/>
  <c r="AB39" i="2" l="1"/>
  <c r="X40" i="2"/>
  <c r="Y40" i="2" s="1"/>
  <c r="U41" i="2" s="1"/>
  <c r="X41" i="2" s="1"/>
  <c r="AA39" i="2"/>
  <c r="N79" i="2"/>
  <c r="L79" i="2"/>
  <c r="R76" i="2"/>
  <c r="S75" i="2"/>
  <c r="W82" i="2"/>
  <c r="H81" i="2"/>
  <c r="I80" i="2"/>
  <c r="J80" i="2" s="1"/>
  <c r="K80" i="2"/>
  <c r="M80" i="2" s="1"/>
  <c r="N80" i="2" s="1"/>
  <c r="O79" i="2"/>
  <c r="AB40" i="2" l="1"/>
  <c r="AA40" i="2"/>
  <c r="Z41" i="2"/>
  <c r="Y41" i="2" s="1"/>
  <c r="U42" i="2" s="1"/>
  <c r="X42" i="2" s="1"/>
  <c r="L80" i="2"/>
  <c r="R77" i="2"/>
  <c r="S76" i="2"/>
  <c r="I81" i="2"/>
  <c r="J81" i="2" s="1"/>
  <c r="K81" i="2"/>
  <c r="M81" i="2" s="1"/>
  <c r="O80" i="2"/>
  <c r="W83" i="2"/>
  <c r="H82" i="2"/>
  <c r="Z42" i="2" l="1"/>
  <c r="Y42" i="2" s="1"/>
  <c r="U43" i="2" s="1"/>
  <c r="AA41" i="2"/>
  <c r="AB41" i="2"/>
  <c r="N81" i="2"/>
  <c r="L81" i="2"/>
  <c r="K82" i="2"/>
  <c r="M82" i="2" s="1"/>
  <c r="N82" i="2" s="1"/>
  <c r="I82" i="2"/>
  <c r="J82" i="2" s="1"/>
  <c r="W84" i="2"/>
  <c r="H83" i="2"/>
  <c r="O81" i="2"/>
  <c r="R78" i="2"/>
  <c r="S77" i="2"/>
  <c r="AB42" i="2" l="1"/>
  <c r="Z43" i="2"/>
  <c r="X43" i="2"/>
  <c r="AA42" i="2"/>
  <c r="W85" i="2"/>
  <c r="H84" i="2"/>
  <c r="S78" i="2"/>
  <c r="R79" i="2"/>
  <c r="L82" i="2"/>
  <c r="K83" i="2"/>
  <c r="M83" i="2" s="1"/>
  <c r="I83" i="2"/>
  <c r="J83" i="2" s="1"/>
  <c r="O82" i="2"/>
  <c r="Y43" i="2" l="1"/>
  <c r="U44" i="2" s="1"/>
  <c r="Z44" i="2" s="1"/>
  <c r="N83" i="2"/>
  <c r="L83" i="2"/>
  <c r="O83" i="2"/>
  <c r="R80" i="2"/>
  <c r="S79" i="2"/>
  <c r="I84" i="2"/>
  <c r="J84" i="2" s="1"/>
  <c r="K84" i="2"/>
  <c r="M84" i="2" s="1"/>
  <c r="W86" i="2"/>
  <c r="H85" i="2"/>
  <c r="AA43" i="2" l="1"/>
  <c r="X44" i="2"/>
  <c r="Y44" i="2" s="1"/>
  <c r="U45" i="2" s="1"/>
  <c r="X45" i="2" s="1"/>
  <c r="AB43" i="2"/>
  <c r="O84" i="2"/>
  <c r="N84" i="2"/>
  <c r="L84" i="2"/>
  <c r="I85" i="2"/>
  <c r="J85" i="2" s="1"/>
  <c r="K85" i="2"/>
  <c r="M85" i="2" s="1"/>
  <c r="R81" i="2"/>
  <c r="S80" i="2"/>
  <c r="W87" i="2"/>
  <c r="H86" i="2"/>
  <c r="AA44" i="2" l="1"/>
  <c r="Z45" i="2"/>
  <c r="Y45" i="2" s="1"/>
  <c r="U46" i="2" s="1"/>
  <c r="AB44" i="2"/>
  <c r="O85" i="2"/>
  <c r="N85" i="2"/>
  <c r="L85" i="2"/>
  <c r="R82" i="2"/>
  <c r="S81" i="2"/>
  <c r="K86" i="2"/>
  <c r="M86" i="2" s="1"/>
  <c r="I86" i="2"/>
  <c r="J86" i="2" s="1"/>
  <c r="W88" i="2"/>
  <c r="H87" i="2"/>
  <c r="O86" i="2" l="1"/>
  <c r="AB45" i="2"/>
  <c r="AA45" i="2"/>
  <c r="Z46" i="2"/>
  <c r="X46" i="2"/>
  <c r="N86" i="2"/>
  <c r="L86" i="2"/>
  <c r="K87" i="2"/>
  <c r="M87" i="2" s="1"/>
  <c r="I87" i="2"/>
  <c r="J87" i="2" s="1"/>
  <c r="S82" i="2"/>
  <c r="R83" i="2"/>
  <c r="W89" i="2"/>
  <c r="H88" i="2"/>
  <c r="Y46" i="2" l="1"/>
  <c r="U47" i="2" s="1"/>
  <c r="N87" i="2"/>
  <c r="L87" i="2"/>
  <c r="O87" i="2"/>
  <c r="K88" i="2"/>
  <c r="M88" i="2" s="1"/>
  <c r="I88" i="2"/>
  <c r="J88" i="2" s="1"/>
  <c r="W90" i="2"/>
  <c r="H89" i="2"/>
  <c r="R84" i="2"/>
  <c r="S83" i="2"/>
  <c r="AA46" i="2" l="1"/>
  <c r="X47" i="2"/>
  <c r="Z47" i="2"/>
  <c r="AB46" i="2"/>
  <c r="N88" i="2"/>
  <c r="L88" i="2"/>
  <c r="K89" i="2"/>
  <c r="M89" i="2" s="1"/>
  <c r="I89" i="2"/>
  <c r="J89" i="2" s="1"/>
  <c r="W91" i="2"/>
  <c r="H90" i="2"/>
  <c r="R85" i="2"/>
  <c r="S84" i="2"/>
  <c r="O88" i="2"/>
  <c r="Y47" i="2" l="1"/>
  <c r="U48" i="2" s="1"/>
  <c r="N89" i="2"/>
  <c r="L89" i="2"/>
  <c r="W92" i="2"/>
  <c r="H91" i="2"/>
  <c r="O89" i="2"/>
  <c r="R86" i="2"/>
  <c r="S85" i="2"/>
  <c r="K90" i="2"/>
  <c r="M90" i="2" s="1"/>
  <c r="I90" i="2"/>
  <c r="J90" i="2" s="1"/>
  <c r="O90" i="2"/>
  <c r="AB47" i="2" l="1"/>
  <c r="X48" i="2"/>
  <c r="AA47" i="2"/>
  <c r="Z48" i="2"/>
  <c r="N90" i="2"/>
  <c r="L90" i="2"/>
  <c r="I91" i="2"/>
  <c r="J91" i="2" s="1"/>
  <c r="K91" i="2"/>
  <c r="M91" i="2" s="1"/>
  <c r="W93" i="2"/>
  <c r="H92" i="2"/>
  <c r="S86" i="2"/>
  <c r="R87" i="2"/>
  <c r="Y48" i="2" l="1"/>
  <c r="U49" i="2" s="1"/>
  <c r="O91" i="2"/>
  <c r="N91" i="2"/>
  <c r="L91" i="2"/>
  <c r="W94" i="2"/>
  <c r="H93" i="2"/>
  <c r="R88" i="2"/>
  <c r="S87" i="2"/>
  <c r="I92" i="2"/>
  <c r="J92" i="2" s="1"/>
  <c r="K92" i="2"/>
  <c r="M92" i="2" s="1"/>
  <c r="AB48" i="2" l="1"/>
  <c r="Z49" i="2"/>
  <c r="AA48" i="2"/>
  <c r="X49" i="2"/>
  <c r="N92" i="2"/>
  <c r="L92" i="2"/>
  <c r="I93" i="2"/>
  <c r="J93" i="2" s="1"/>
  <c r="K93" i="2"/>
  <c r="M93" i="2" s="1"/>
  <c r="W95" i="2"/>
  <c r="H94" i="2"/>
  <c r="O92" i="2"/>
  <c r="S88" i="2"/>
  <c r="R89" i="2"/>
  <c r="O93" i="2" l="1"/>
  <c r="Y49" i="2"/>
  <c r="U50" i="2" s="1"/>
  <c r="N93" i="2"/>
  <c r="L93" i="2"/>
  <c r="K94" i="2"/>
  <c r="M94" i="2" s="1"/>
  <c r="I94" i="2"/>
  <c r="J94" i="2" s="1"/>
  <c r="W96" i="2"/>
  <c r="H95" i="2"/>
  <c r="R90" i="2"/>
  <c r="S89" i="2"/>
  <c r="Z50" i="2" l="1"/>
  <c r="AA49" i="2"/>
  <c r="X50" i="2"/>
  <c r="AB49" i="2"/>
  <c r="N94" i="2"/>
  <c r="L94" i="2"/>
  <c r="W97" i="2"/>
  <c r="H96" i="2"/>
  <c r="O94" i="2"/>
  <c r="S90" i="2"/>
  <c r="R91" i="2"/>
  <c r="I95" i="2"/>
  <c r="J95" i="2" s="1"/>
  <c r="K95" i="2"/>
  <c r="M95" i="2" s="1"/>
  <c r="Y50" i="2" l="1"/>
  <c r="U51" i="2" s="1"/>
  <c r="N95" i="2"/>
  <c r="L95" i="2"/>
  <c r="K96" i="2"/>
  <c r="M96" i="2" s="1"/>
  <c r="I96" i="2"/>
  <c r="J96" i="2" s="1"/>
  <c r="S91" i="2"/>
  <c r="R92" i="2"/>
  <c r="W98" i="2"/>
  <c r="H97" i="2"/>
  <c r="O95" i="2"/>
  <c r="Z51" i="2" l="1"/>
  <c r="AA50" i="2"/>
  <c r="X51" i="2"/>
  <c r="AB50" i="2"/>
  <c r="N96" i="2"/>
  <c r="L96" i="2"/>
  <c r="O96" i="2"/>
  <c r="I97" i="2"/>
  <c r="J97" i="2" s="1"/>
  <c r="K97" i="2"/>
  <c r="M97" i="2" s="1"/>
  <c r="W99" i="2"/>
  <c r="H98" i="2"/>
  <c r="S92" i="2"/>
  <c r="R93" i="2"/>
  <c r="Y51" i="2" l="1"/>
  <c r="U52" i="2" s="1"/>
  <c r="N97" i="2"/>
  <c r="L97" i="2"/>
  <c r="R94" i="2"/>
  <c r="S93" i="2"/>
  <c r="O97" i="2"/>
  <c r="K98" i="2"/>
  <c r="M98" i="2" s="1"/>
  <c r="N98" i="2" s="1"/>
  <c r="I98" i="2"/>
  <c r="J98" i="2" s="1"/>
  <c r="W100" i="2"/>
  <c r="H99" i="2"/>
  <c r="O98" i="2" l="1"/>
  <c r="AA51" i="2"/>
  <c r="X52" i="2"/>
  <c r="Z52" i="2"/>
  <c r="AB51" i="2"/>
  <c r="K99" i="2"/>
  <c r="M99" i="2" s="1"/>
  <c r="I99" i="2"/>
  <c r="J99" i="2" s="1"/>
  <c r="W101" i="2"/>
  <c r="H100" i="2"/>
  <c r="S94" i="2"/>
  <c r="R95" i="2"/>
  <c r="L98" i="2"/>
  <c r="Y52" i="2" l="1"/>
  <c r="U53" i="2" s="1"/>
  <c r="AA52" i="2" s="1"/>
  <c r="N99" i="2"/>
  <c r="L99" i="2"/>
  <c r="K100" i="2"/>
  <c r="M100" i="2" s="1"/>
  <c r="I100" i="2"/>
  <c r="J100" i="2" s="1"/>
  <c r="W102" i="2"/>
  <c r="H101" i="2"/>
  <c r="R96" i="2"/>
  <c r="S95" i="2"/>
  <c r="O99" i="2"/>
  <c r="X53" i="2" l="1"/>
  <c r="Z53" i="2"/>
  <c r="AB52" i="2"/>
  <c r="N100" i="2"/>
  <c r="L100" i="2"/>
  <c r="W103" i="2"/>
  <c r="H102" i="2"/>
  <c r="R97" i="2"/>
  <c r="S96" i="2"/>
  <c r="O100" i="2"/>
  <c r="I101" i="2"/>
  <c r="J101" i="2" s="1"/>
  <c r="K101" i="2"/>
  <c r="M101" i="2" s="1"/>
  <c r="Y53" i="2" l="1"/>
  <c r="U54" i="2" s="1"/>
  <c r="AA53" i="2" s="1"/>
  <c r="N101" i="2"/>
  <c r="L101" i="2"/>
  <c r="O101" i="2"/>
  <c r="I102" i="2"/>
  <c r="J102" i="2" s="1"/>
  <c r="K102" i="2"/>
  <c r="M102" i="2" s="1"/>
  <c r="W104" i="2"/>
  <c r="H103" i="2"/>
  <c r="R98" i="2"/>
  <c r="S97" i="2"/>
  <c r="AB53" i="2" l="1"/>
  <c r="X54" i="2"/>
  <c r="Z54" i="2"/>
  <c r="O102" i="2"/>
  <c r="N102" i="2"/>
  <c r="L102" i="2"/>
  <c r="S98" i="2"/>
  <c r="R99" i="2"/>
  <c r="K103" i="2"/>
  <c r="M103" i="2" s="1"/>
  <c r="I103" i="2"/>
  <c r="J103" i="2" s="1"/>
  <c r="W105" i="2"/>
  <c r="H104" i="2"/>
  <c r="Y54" i="2" l="1"/>
  <c r="U55" i="2" s="1"/>
  <c r="AA54" i="2" s="1"/>
  <c r="O103" i="2"/>
  <c r="N103" i="2"/>
  <c r="L103" i="2"/>
  <c r="R100" i="2"/>
  <c r="S99" i="2"/>
  <c r="W106" i="2"/>
  <c r="H105" i="2"/>
  <c r="I104" i="2"/>
  <c r="J104" i="2" s="1"/>
  <c r="K104" i="2"/>
  <c r="M104" i="2" s="1"/>
  <c r="O104" i="2" l="1"/>
  <c r="AB54" i="2"/>
  <c r="Z55" i="2"/>
  <c r="X55" i="2"/>
  <c r="N104" i="2"/>
  <c r="L104" i="2"/>
  <c r="S100" i="2"/>
  <c r="R101" i="2"/>
  <c r="I105" i="2"/>
  <c r="J105" i="2" s="1"/>
  <c r="O105" i="2"/>
  <c r="K105" i="2"/>
  <c r="M105" i="2" s="1"/>
  <c r="W107" i="2"/>
  <c r="H106" i="2"/>
  <c r="Y55" i="2" l="1"/>
  <c r="U56" i="2" s="1"/>
  <c r="X56" i="2" s="1"/>
  <c r="N105" i="2"/>
  <c r="L105" i="2"/>
  <c r="S101" i="2"/>
  <c r="R102" i="2"/>
  <c r="I106" i="2"/>
  <c r="J106" i="2" s="1"/>
  <c r="K106" i="2"/>
  <c r="M106" i="2" s="1"/>
  <c r="W108" i="2"/>
  <c r="H107" i="2"/>
  <c r="Z56" i="2" l="1"/>
  <c r="Y56" i="2" s="1"/>
  <c r="U57" i="2" s="1"/>
  <c r="Z57" i="2" s="1"/>
  <c r="AA55" i="2"/>
  <c r="AB55" i="2"/>
  <c r="O106" i="2"/>
  <c r="N106" i="2"/>
  <c r="L106" i="2"/>
  <c r="W109" i="2"/>
  <c r="H108" i="2"/>
  <c r="R103" i="2"/>
  <c r="S102" i="2"/>
  <c r="I107" i="2"/>
  <c r="J107" i="2" s="1"/>
  <c r="K107" i="2"/>
  <c r="M107" i="2" s="1"/>
  <c r="X57" i="2" l="1"/>
  <c r="Y57" i="2" s="1"/>
  <c r="U58" i="2" s="1"/>
  <c r="X58" i="2" s="1"/>
  <c r="AB56" i="2"/>
  <c r="AA56" i="2"/>
  <c r="N107" i="2"/>
  <c r="L107" i="2"/>
  <c r="I108" i="2"/>
  <c r="J108" i="2" s="1"/>
  <c r="K108" i="2"/>
  <c r="M108" i="2" s="1"/>
  <c r="W110" i="2"/>
  <c r="H109" i="2"/>
  <c r="O107" i="2"/>
  <c r="R104" i="2"/>
  <c r="S103" i="2"/>
  <c r="AB57" i="2" l="1"/>
  <c r="AA57" i="2"/>
  <c r="Z58" i="2"/>
  <c r="Y58" i="2" s="1"/>
  <c r="U59" i="2" s="1"/>
  <c r="AA58" i="2" s="1"/>
  <c r="N108" i="2"/>
  <c r="L108" i="2"/>
  <c r="W111" i="2"/>
  <c r="H110" i="2"/>
  <c r="O108" i="2"/>
  <c r="S104" i="2"/>
  <c r="R105" i="2"/>
  <c r="I109" i="2"/>
  <c r="J109" i="2" s="1"/>
  <c r="K109" i="2"/>
  <c r="M109" i="2" s="1"/>
  <c r="AB58" i="2" l="1"/>
  <c r="Z59" i="2"/>
  <c r="X59" i="2"/>
  <c r="Y59" i="2" s="1"/>
  <c r="U60" i="2" s="1"/>
  <c r="N109" i="2"/>
  <c r="L109" i="2"/>
  <c r="O109" i="2"/>
  <c r="K110" i="2"/>
  <c r="M110" i="2" s="1"/>
  <c r="I110" i="2"/>
  <c r="J110" i="2" s="1"/>
  <c r="S105" i="2"/>
  <c r="R106" i="2"/>
  <c r="W112" i="2"/>
  <c r="H111" i="2"/>
  <c r="X60" i="2" l="1"/>
  <c r="AA59" i="2"/>
  <c r="Z60" i="2"/>
  <c r="AB59" i="2"/>
  <c r="N110" i="2"/>
  <c r="L110" i="2"/>
  <c r="I111" i="2"/>
  <c r="J111" i="2" s="1"/>
  <c r="K111" i="2"/>
  <c r="M111" i="2" s="1"/>
  <c r="O110" i="2"/>
  <c r="W113" i="2"/>
  <c r="H112" i="2"/>
  <c r="S106" i="2"/>
  <c r="R107" i="2"/>
  <c r="O111" i="2" l="1"/>
  <c r="Y60" i="2"/>
  <c r="U61" i="2" s="1"/>
  <c r="X61" i="2" s="1"/>
  <c r="N111" i="2"/>
  <c r="L111" i="2"/>
  <c r="R108" i="2"/>
  <c r="S107" i="2"/>
  <c r="I112" i="2"/>
  <c r="J112" i="2" s="1"/>
  <c r="K112" i="2"/>
  <c r="M112" i="2" s="1"/>
  <c r="W114" i="2"/>
  <c r="H113" i="2"/>
  <c r="O112" i="2" l="1"/>
  <c r="AB60" i="2"/>
  <c r="Z61" i="2"/>
  <c r="Y61" i="2" s="1"/>
  <c r="U62" i="2" s="1"/>
  <c r="Z62" i="2" s="1"/>
  <c r="AA60" i="2"/>
  <c r="N112" i="2"/>
  <c r="L112" i="2"/>
  <c r="K113" i="2"/>
  <c r="M113" i="2" s="1"/>
  <c r="I113" i="2"/>
  <c r="J113" i="2" s="1"/>
  <c r="R109" i="2"/>
  <c r="S108" i="2"/>
  <c r="W115" i="2"/>
  <c r="H114" i="2"/>
  <c r="X62" i="2" l="1"/>
  <c r="Y62" i="2" s="1"/>
  <c r="U63" i="2" s="1"/>
  <c r="X63" i="2" s="1"/>
  <c r="AB61" i="2"/>
  <c r="AA61" i="2"/>
  <c r="N113" i="2"/>
  <c r="L113" i="2"/>
  <c r="R110" i="2"/>
  <c r="S109" i="2"/>
  <c r="O113" i="2"/>
  <c r="I114" i="2"/>
  <c r="J114" i="2" s="1"/>
  <c r="K114" i="2"/>
  <c r="M114" i="2" s="1"/>
  <c r="W116" i="2"/>
  <c r="H115" i="2"/>
  <c r="AB62" i="2" l="1"/>
  <c r="Z63" i="2"/>
  <c r="Y63" i="2" s="1"/>
  <c r="U64" i="2" s="1"/>
  <c r="Z64" i="2" s="1"/>
  <c r="AA62" i="2"/>
  <c r="N114" i="2"/>
  <c r="L114" i="2"/>
  <c r="K115" i="2"/>
  <c r="M115" i="2" s="1"/>
  <c r="I115" i="2"/>
  <c r="J115" i="2" s="1"/>
  <c r="W117" i="2"/>
  <c r="H116" i="2"/>
  <c r="O114" i="2"/>
  <c r="R111" i="2"/>
  <c r="S110" i="2"/>
  <c r="X64" i="2" l="1"/>
  <c r="Y64" i="2" s="1"/>
  <c r="U65" i="2" s="1"/>
  <c r="AA63" i="2"/>
  <c r="AB63" i="2"/>
  <c r="N115" i="2"/>
  <c r="L115" i="2"/>
  <c r="W118" i="2"/>
  <c r="H117" i="2"/>
  <c r="R112" i="2"/>
  <c r="S111" i="2"/>
  <c r="O115" i="2"/>
  <c r="I116" i="2"/>
  <c r="J116" i="2" s="1"/>
  <c r="K116" i="2"/>
  <c r="M116" i="2" s="1"/>
  <c r="O116" i="2" l="1"/>
  <c r="AA64" i="2"/>
  <c r="X65" i="2"/>
  <c r="Z65" i="2"/>
  <c r="AB64" i="2"/>
  <c r="N116" i="2"/>
  <c r="L116" i="2"/>
  <c r="I117" i="2"/>
  <c r="J117" i="2" s="1"/>
  <c r="K117" i="2"/>
  <c r="M117" i="2" s="1"/>
  <c r="W119" i="2"/>
  <c r="H118" i="2"/>
  <c r="R113" i="2"/>
  <c r="S112" i="2"/>
  <c r="Y65" i="2" l="1"/>
  <c r="U66" i="2" s="1"/>
  <c r="X66" i="2" s="1"/>
  <c r="O117" i="2"/>
  <c r="N117" i="2"/>
  <c r="L117" i="2"/>
  <c r="W120" i="2"/>
  <c r="H119" i="2"/>
  <c r="R114" i="2"/>
  <c r="S113" i="2"/>
  <c r="K118" i="2"/>
  <c r="M118" i="2" s="1"/>
  <c r="I118" i="2"/>
  <c r="J118" i="2" s="1"/>
  <c r="O118" i="2" l="1"/>
  <c r="AB65" i="2"/>
  <c r="AA65" i="2"/>
  <c r="Z66" i="2"/>
  <c r="Y66" i="2" s="1"/>
  <c r="U67" i="2" s="1"/>
  <c r="N118" i="2"/>
  <c r="L118" i="2"/>
  <c r="K119" i="2"/>
  <c r="M119" i="2" s="1"/>
  <c r="I119" i="2"/>
  <c r="J119" i="2" s="1"/>
  <c r="W121" i="2"/>
  <c r="H120" i="2"/>
  <c r="S114" i="2"/>
  <c r="R115" i="2"/>
  <c r="AB66" i="2" l="1"/>
  <c r="AA66" i="2"/>
  <c r="X67" i="2"/>
  <c r="Z67" i="2"/>
  <c r="N119" i="2"/>
  <c r="L119" i="2"/>
  <c r="W122" i="2"/>
  <c r="H121" i="2"/>
  <c r="R116" i="2"/>
  <c r="S115" i="2"/>
  <c r="O119" i="2"/>
  <c r="K120" i="2"/>
  <c r="M120" i="2" s="1"/>
  <c r="I120" i="2"/>
  <c r="J120" i="2" s="1"/>
  <c r="Y67" i="2" l="1"/>
  <c r="U68" i="2" s="1"/>
  <c r="X68" i="2" s="1"/>
  <c r="N120" i="2"/>
  <c r="L120" i="2"/>
  <c r="O120" i="2"/>
  <c r="I121" i="2"/>
  <c r="J121" i="2" s="1"/>
  <c r="K121" i="2"/>
  <c r="M121" i="2" s="1"/>
  <c r="W123" i="2"/>
  <c r="H122" i="2"/>
  <c r="S116" i="2"/>
  <c r="R117" i="2"/>
  <c r="Z68" i="2" l="1"/>
  <c r="Y68" i="2" s="1"/>
  <c r="AA67" i="2"/>
  <c r="AB67" i="2"/>
  <c r="O121" i="2"/>
  <c r="N121" i="2"/>
  <c r="L121" i="2"/>
  <c r="R118" i="2"/>
  <c r="S117" i="2"/>
  <c r="I122" i="2"/>
  <c r="J122" i="2" s="1"/>
  <c r="K122" i="2"/>
  <c r="M122" i="2" s="1"/>
  <c r="W124" i="2"/>
  <c r="H123" i="2"/>
  <c r="O122" i="2" l="1"/>
  <c r="U69" i="2"/>
  <c r="AB68" i="2"/>
  <c r="N122" i="2"/>
  <c r="L122" i="2"/>
  <c r="I123" i="2"/>
  <c r="J123" i="2" s="1"/>
  <c r="K123" i="2"/>
  <c r="M123" i="2" s="1"/>
  <c r="S118" i="2"/>
  <c r="R119" i="2"/>
  <c r="W125" i="2"/>
  <c r="H124" i="2"/>
  <c r="O123" i="2" l="1"/>
  <c r="X69" i="2"/>
  <c r="Z69" i="2"/>
  <c r="AA68" i="2"/>
  <c r="N123" i="2"/>
  <c r="L123" i="2"/>
  <c r="I124" i="2"/>
  <c r="J124" i="2" s="1"/>
  <c r="K124" i="2"/>
  <c r="M124" i="2" s="1"/>
  <c r="W126" i="2"/>
  <c r="H125" i="2"/>
  <c r="S119" i="2"/>
  <c r="R120" i="2"/>
  <c r="Y69" i="2" l="1"/>
  <c r="U70" i="2" s="1"/>
  <c r="X70" i="2" s="1"/>
  <c r="N124" i="2"/>
  <c r="L124" i="2"/>
  <c r="W127" i="2"/>
  <c r="H126" i="2"/>
  <c r="S120" i="2"/>
  <c r="R121" i="2"/>
  <c r="K125" i="2"/>
  <c r="M125" i="2" s="1"/>
  <c r="I125" i="2"/>
  <c r="J125" i="2" s="1"/>
  <c r="O124" i="2"/>
  <c r="Z70" i="2" l="1"/>
  <c r="Y70" i="2" s="1"/>
  <c r="U71" i="2" s="1"/>
  <c r="Z71" i="2" s="1"/>
  <c r="AA69" i="2"/>
  <c r="AB69" i="2"/>
  <c r="N125" i="2"/>
  <c r="L125" i="2"/>
  <c r="I126" i="2"/>
  <c r="J126" i="2" s="1"/>
  <c r="K126" i="2"/>
  <c r="M126" i="2" s="1"/>
  <c r="W128" i="2"/>
  <c r="H127" i="2"/>
  <c r="S121" i="2"/>
  <c r="R122" i="2"/>
  <c r="O125" i="2"/>
  <c r="X71" i="2" l="1"/>
  <c r="Y71" i="2" s="1"/>
  <c r="U72" i="2" s="1"/>
  <c r="AA70" i="2"/>
  <c r="AB70" i="2"/>
  <c r="O126" i="2"/>
  <c r="N126" i="2"/>
  <c r="L126" i="2"/>
  <c r="K127" i="2"/>
  <c r="M127" i="2" s="1"/>
  <c r="I127" i="2"/>
  <c r="J127" i="2" s="1"/>
  <c r="W129" i="2"/>
  <c r="H128" i="2"/>
  <c r="S122" i="2"/>
  <c r="R123" i="2"/>
  <c r="O127" i="2" l="1"/>
  <c r="AB71" i="2"/>
  <c r="AA71" i="2"/>
  <c r="Z72" i="2"/>
  <c r="X72" i="2"/>
  <c r="N127" i="2"/>
  <c r="L127" i="2"/>
  <c r="W130" i="2"/>
  <c r="H129" i="2"/>
  <c r="R124" i="2"/>
  <c r="S123" i="2"/>
  <c r="I128" i="2"/>
  <c r="J128" i="2" s="1"/>
  <c r="K128" i="2"/>
  <c r="M128" i="2" s="1"/>
  <c r="Y72" i="2" l="1"/>
  <c r="U73" i="2" s="1"/>
  <c r="N128" i="2"/>
  <c r="L128" i="2"/>
  <c r="I129" i="2"/>
  <c r="J129" i="2" s="1"/>
  <c r="K129" i="2"/>
  <c r="M129" i="2" s="1"/>
  <c r="W131" i="2"/>
  <c r="H130" i="2"/>
  <c r="O128" i="2"/>
  <c r="S124" i="2"/>
  <c r="R125" i="2"/>
  <c r="O129" i="2" l="1"/>
  <c r="AB72" i="2"/>
  <c r="Z73" i="2"/>
  <c r="X73" i="2"/>
  <c r="AA72" i="2"/>
  <c r="N129" i="2"/>
  <c r="L129" i="2"/>
  <c r="S125" i="2"/>
  <c r="R126" i="2"/>
  <c r="W132" i="2"/>
  <c r="H131" i="2"/>
  <c r="I130" i="2"/>
  <c r="J130" i="2" s="1"/>
  <c r="K130" i="2"/>
  <c r="M130" i="2" s="1"/>
  <c r="Y73" i="2" l="1"/>
  <c r="U74" i="2" s="1"/>
  <c r="N130" i="2"/>
  <c r="L130" i="2"/>
  <c r="S126" i="2"/>
  <c r="R127" i="2"/>
  <c r="K131" i="2"/>
  <c r="M131" i="2" s="1"/>
  <c r="I131" i="2"/>
  <c r="J131" i="2" s="1"/>
  <c r="O130" i="2"/>
  <c r="W133" i="2"/>
  <c r="H132" i="2"/>
  <c r="X74" i="2" l="1"/>
  <c r="Z74" i="2"/>
  <c r="AA73" i="2"/>
  <c r="AB73" i="2"/>
  <c r="N131" i="2"/>
  <c r="L131" i="2"/>
  <c r="I132" i="2"/>
  <c r="J132" i="2" s="1"/>
  <c r="K132" i="2"/>
  <c r="M132" i="2" s="1"/>
  <c r="S127" i="2"/>
  <c r="R128" i="2"/>
  <c r="W134" i="2"/>
  <c r="H133" i="2"/>
  <c r="O131" i="2"/>
  <c r="O132" i="2" l="1"/>
  <c r="Y74" i="2"/>
  <c r="U75" i="2" s="1"/>
  <c r="N132" i="2"/>
  <c r="L132" i="2"/>
  <c r="I133" i="2"/>
  <c r="J133" i="2" s="1"/>
  <c r="K133" i="2"/>
  <c r="M133" i="2" s="1"/>
  <c r="W135" i="2"/>
  <c r="H134" i="2"/>
  <c r="R129" i="2"/>
  <c r="S128" i="2"/>
  <c r="N133" i="2" l="1"/>
  <c r="L133" i="2"/>
  <c r="X75" i="2"/>
  <c r="AA74" i="2"/>
  <c r="Z75" i="2"/>
  <c r="AB74" i="2"/>
  <c r="W136" i="2"/>
  <c r="H135" i="2"/>
  <c r="R130" i="2"/>
  <c r="S129" i="2"/>
  <c r="K134" i="2"/>
  <c r="M134" i="2" s="1"/>
  <c r="I134" i="2"/>
  <c r="J134" i="2" s="1"/>
  <c r="O133" i="2"/>
  <c r="Y75" i="2" l="1"/>
  <c r="U76" i="2" s="1"/>
  <c r="Z76" i="2" s="1"/>
  <c r="N134" i="2"/>
  <c r="L134" i="2"/>
  <c r="R131" i="2"/>
  <c r="S130" i="2"/>
  <c r="O134" i="2"/>
  <c r="K135" i="2"/>
  <c r="M135" i="2" s="1"/>
  <c r="I135" i="2"/>
  <c r="J135" i="2" s="1"/>
  <c r="W137" i="2"/>
  <c r="H136" i="2"/>
  <c r="O135" i="2" l="1"/>
  <c r="AB75" i="2"/>
  <c r="X76" i="2"/>
  <c r="Y76" i="2" s="1"/>
  <c r="U77" i="2" s="1"/>
  <c r="AA75" i="2"/>
  <c r="N135" i="2"/>
  <c r="L135" i="2"/>
  <c r="M136" i="2"/>
  <c r="N136" i="2" s="1"/>
  <c r="I136" i="2"/>
  <c r="J136" i="2" s="1"/>
  <c r="K136" i="2"/>
  <c r="W138" i="2"/>
  <c r="H137" i="2"/>
  <c r="S131" i="2"/>
  <c r="R132" i="2"/>
  <c r="L136" i="2" l="1"/>
  <c r="O136" i="2"/>
  <c r="X77" i="2"/>
  <c r="AA76" i="2"/>
  <c r="Z77" i="2"/>
  <c r="AB76" i="2"/>
  <c r="W139" i="2"/>
  <c r="H138" i="2"/>
  <c r="R133" i="2"/>
  <c r="S132" i="2"/>
  <c r="I137" i="2"/>
  <c r="J137" i="2" s="1"/>
  <c r="K137" i="2"/>
  <c r="M137" i="2" s="1"/>
  <c r="Y77" i="2" l="1"/>
  <c r="U78" i="2" s="1"/>
  <c r="N137" i="2"/>
  <c r="L137" i="2"/>
  <c r="O137" i="2"/>
  <c r="S133" i="2"/>
  <c r="R134" i="2"/>
  <c r="I138" i="2"/>
  <c r="J138" i="2" s="1"/>
  <c r="K138" i="2"/>
  <c r="M138" i="2" s="1"/>
  <c r="W140" i="2"/>
  <c r="H139" i="2"/>
  <c r="O138" i="2" l="1"/>
  <c r="X78" i="2"/>
  <c r="Z78" i="2"/>
  <c r="AA77" i="2"/>
  <c r="AB77" i="2"/>
  <c r="N138" i="2"/>
  <c r="L138" i="2"/>
  <c r="I139" i="2"/>
  <c r="J139" i="2" s="1"/>
  <c r="K139" i="2"/>
  <c r="M139" i="2" s="1"/>
  <c r="W141" i="2"/>
  <c r="H140" i="2"/>
  <c r="S134" i="2"/>
  <c r="R135" i="2"/>
  <c r="O139" i="2" l="1"/>
  <c r="Y78" i="2"/>
  <c r="U79" i="2" s="1"/>
  <c r="X79" i="2" s="1"/>
  <c r="N139" i="2"/>
  <c r="L139" i="2"/>
  <c r="W142" i="2"/>
  <c r="H141" i="2"/>
  <c r="R136" i="2"/>
  <c r="S135" i="2"/>
  <c r="K140" i="2"/>
  <c r="M140" i="2" s="1"/>
  <c r="I140" i="2"/>
  <c r="J140" i="2" s="1"/>
  <c r="N140" i="2" l="1"/>
  <c r="L140" i="2"/>
  <c r="O140" i="2"/>
  <c r="AB78" i="2"/>
  <c r="Z79" i="2"/>
  <c r="Y79" i="2" s="1"/>
  <c r="AA78" i="2"/>
  <c r="I141" i="2"/>
  <c r="J141" i="2" s="1"/>
  <c r="K141" i="2"/>
  <c r="M141" i="2" s="1"/>
  <c r="W143" i="2"/>
  <c r="H142" i="2"/>
  <c r="R137" i="2"/>
  <c r="S136" i="2"/>
  <c r="N141" i="2" l="1"/>
  <c r="L141" i="2"/>
  <c r="U80" i="2"/>
  <c r="AA79" i="2" s="1"/>
  <c r="AB79" i="2"/>
  <c r="S137" i="2"/>
  <c r="R138" i="2"/>
  <c r="K142" i="2"/>
  <c r="M142" i="2" s="1"/>
  <c r="I142" i="2"/>
  <c r="J142" i="2" s="1"/>
  <c r="W144" i="2"/>
  <c r="H143" i="2"/>
  <c r="O141" i="2"/>
  <c r="X80" i="2" l="1"/>
  <c r="Z80" i="2"/>
  <c r="N142" i="2"/>
  <c r="L142" i="2"/>
  <c r="W145" i="2"/>
  <c r="H144" i="2"/>
  <c r="O142" i="2"/>
  <c r="S138" i="2"/>
  <c r="R139" i="2"/>
  <c r="K143" i="2"/>
  <c r="M143" i="2" s="1"/>
  <c r="I143" i="2"/>
  <c r="J143" i="2" s="1"/>
  <c r="Y80" i="2" l="1"/>
  <c r="U81" i="2" s="1"/>
  <c r="AA80" i="2" s="1"/>
  <c r="N143" i="2"/>
  <c r="L143" i="2"/>
  <c r="K144" i="2"/>
  <c r="M144" i="2" s="1"/>
  <c r="I144" i="2"/>
  <c r="J144" i="2" s="1"/>
  <c r="R140" i="2"/>
  <c r="S139" i="2"/>
  <c r="W146" i="2"/>
  <c r="H145" i="2"/>
  <c r="O143" i="2"/>
  <c r="AB80" i="2" l="1"/>
  <c r="Z81" i="2"/>
  <c r="X81" i="2"/>
  <c r="N144" i="2"/>
  <c r="L144" i="2"/>
  <c r="R141" i="2"/>
  <c r="S140" i="2"/>
  <c r="K145" i="2"/>
  <c r="M145" i="2" s="1"/>
  <c r="I145" i="2"/>
  <c r="J145" i="2" s="1"/>
  <c r="O144" i="2"/>
  <c r="W147" i="2"/>
  <c r="H146" i="2"/>
  <c r="Y81" i="2" l="1"/>
  <c r="U82" i="2" s="1"/>
  <c r="Z82" i="2" s="1"/>
  <c r="N145" i="2"/>
  <c r="L145" i="2"/>
  <c r="K146" i="2"/>
  <c r="M146" i="2" s="1"/>
  <c r="I146" i="2"/>
  <c r="J146" i="2" s="1"/>
  <c r="W148" i="2"/>
  <c r="H147" i="2"/>
  <c r="O145" i="2"/>
  <c r="R142" i="2"/>
  <c r="S141" i="2"/>
  <c r="AB81" i="2" l="1"/>
  <c r="AA81" i="2"/>
  <c r="X82" i="2"/>
  <c r="Y82" i="2" s="1"/>
  <c r="U83" i="2" s="1"/>
  <c r="N146" i="2"/>
  <c r="L146" i="2"/>
  <c r="K147" i="2"/>
  <c r="M147" i="2" s="1"/>
  <c r="I147" i="2"/>
  <c r="J147" i="2" s="1"/>
  <c r="W149" i="2"/>
  <c r="H148" i="2"/>
  <c r="S142" i="2"/>
  <c r="R143" i="2"/>
  <c r="O146" i="2"/>
  <c r="AA82" i="2" l="1"/>
  <c r="Z83" i="2"/>
  <c r="X83" i="2"/>
  <c r="AB82" i="2"/>
  <c r="N147" i="2"/>
  <c r="L147" i="2"/>
  <c r="W150" i="2"/>
  <c r="H149" i="2"/>
  <c r="S143" i="2"/>
  <c r="R144" i="2"/>
  <c r="O147" i="2"/>
  <c r="K148" i="2"/>
  <c r="M148" i="2" s="1"/>
  <c r="I148" i="2"/>
  <c r="J148" i="2" s="1"/>
  <c r="Y83" i="2" l="1"/>
  <c r="U84" i="2" s="1"/>
  <c r="AA83" i="2" s="1"/>
  <c r="N148" i="2"/>
  <c r="L148" i="2"/>
  <c r="K149" i="2"/>
  <c r="M149" i="2" s="1"/>
  <c r="I149" i="2"/>
  <c r="J149" i="2" s="1"/>
  <c r="AO2" i="2"/>
  <c r="AO37" i="2"/>
  <c r="AO24" i="2"/>
  <c r="AO29" i="2"/>
  <c r="AO33" i="2"/>
  <c r="AO15" i="2"/>
  <c r="AO18" i="2"/>
  <c r="AO4" i="2"/>
  <c r="AO9" i="2"/>
  <c r="AO31" i="2"/>
  <c r="AO25" i="2"/>
  <c r="AO27" i="2"/>
  <c r="AO11" i="2"/>
  <c r="AO38" i="2"/>
  <c r="AO34" i="2"/>
  <c r="AO19" i="2"/>
  <c r="AO22" i="2"/>
  <c r="AO8" i="2"/>
  <c r="AO21" i="2"/>
  <c r="AO41" i="2"/>
  <c r="AO12" i="2"/>
  <c r="AO20" i="2"/>
  <c r="AP2" i="2"/>
  <c r="AO40" i="2"/>
  <c r="AO35" i="2"/>
  <c r="AO30" i="2"/>
  <c r="AO39" i="2"/>
  <c r="AO14" i="2"/>
  <c r="AO26" i="2"/>
  <c r="AO13" i="2"/>
  <c r="AO17" i="2"/>
  <c r="AO10" i="2"/>
  <c r="AO5" i="2"/>
  <c r="AO7" i="2"/>
  <c r="AO23" i="2"/>
  <c r="AO3" i="2"/>
  <c r="AO16" i="2"/>
  <c r="AO32" i="2"/>
  <c r="AO6" i="2"/>
  <c r="AO28" i="2"/>
  <c r="AO36" i="2"/>
  <c r="AP4" i="2"/>
  <c r="H150" i="2"/>
  <c r="AP3" i="2"/>
  <c r="AP5" i="2"/>
  <c r="AP6" i="2"/>
  <c r="AP7" i="2"/>
  <c r="AP8" i="2"/>
  <c r="AP9" i="2"/>
  <c r="AP10" i="2"/>
  <c r="AP11" i="2"/>
  <c r="AP13" i="2"/>
  <c r="AP12" i="2"/>
  <c r="AP14" i="2"/>
  <c r="AP16" i="2"/>
  <c r="AP15" i="2"/>
  <c r="AP17" i="2"/>
  <c r="AP18" i="2"/>
  <c r="AP20" i="2"/>
  <c r="AP19" i="2"/>
  <c r="AP21" i="2"/>
  <c r="AP24" i="2"/>
  <c r="AP22" i="2"/>
  <c r="AP27" i="2"/>
  <c r="AP23" i="2"/>
  <c r="AP25" i="2"/>
  <c r="AP26" i="2"/>
  <c r="AP28" i="2"/>
  <c r="AP29" i="2"/>
  <c r="AP34" i="2"/>
  <c r="AP33" i="2"/>
  <c r="AP30" i="2"/>
  <c r="AP32" i="2"/>
  <c r="AP31" i="2"/>
  <c r="AP36" i="2"/>
  <c r="AP35" i="2"/>
  <c r="AP38" i="2"/>
  <c r="AP39" i="2"/>
  <c r="AP41" i="2"/>
  <c r="AP37" i="2"/>
  <c r="AP40" i="2"/>
  <c r="R145" i="2"/>
  <c r="S144" i="2"/>
  <c r="O148" i="2"/>
  <c r="N149" i="2" l="1"/>
  <c r="L149" i="2"/>
  <c r="AM36" i="2"/>
  <c r="AS36" i="2" s="1"/>
  <c r="AR36" i="2" s="1"/>
  <c r="AW44" i="2" s="1"/>
  <c r="AY44" i="2" s="1"/>
  <c r="AM26" i="2"/>
  <c r="AS26" i="2" s="1"/>
  <c r="AR26" i="2" s="1"/>
  <c r="AW34" i="2" s="1"/>
  <c r="AY34" i="2" s="1"/>
  <c r="AM20" i="2"/>
  <c r="AS20" i="2" s="1"/>
  <c r="AR20" i="2" s="1"/>
  <c r="AW28" i="2" s="1"/>
  <c r="AY28" i="2" s="1"/>
  <c r="AM11" i="2"/>
  <c r="AS11" i="2" s="1"/>
  <c r="AR11" i="2" s="1"/>
  <c r="AW19" i="2" s="1"/>
  <c r="AY19" i="2" s="1"/>
  <c r="X84" i="2"/>
  <c r="AM22" i="2"/>
  <c r="AS22" i="2" s="1"/>
  <c r="AR22" i="2" s="1"/>
  <c r="AW30" i="2" s="1"/>
  <c r="AY30" i="2" s="1"/>
  <c r="AM16" i="2"/>
  <c r="AS16" i="2" s="1"/>
  <c r="AR16" i="2" s="1"/>
  <c r="AW24" i="2" s="1"/>
  <c r="AY24" i="2" s="1"/>
  <c r="AM40" i="2"/>
  <c r="AS40" i="2" s="1"/>
  <c r="AR40" i="2" s="1"/>
  <c r="AF83" i="2" s="1"/>
  <c r="AH83" i="2" s="1"/>
  <c r="AM38" i="2"/>
  <c r="AS38" i="2" s="1"/>
  <c r="AR38" i="2" s="1"/>
  <c r="AW46" i="2" s="1"/>
  <c r="AY46" i="2" s="1"/>
  <c r="AM32" i="2"/>
  <c r="AS32" i="2" s="1"/>
  <c r="AR32" i="2" s="1"/>
  <c r="AW40" i="2" s="1"/>
  <c r="AY40" i="2" s="1"/>
  <c r="AM29" i="2"/>
  <c r="AS29" i="2" s="1"/>
  <c r="AR29" i="2" s="1"/>
  <c r="AW37" i="2" s="1"/>
  <c r="AY37" i="2" s="1"/>
  <c r="AM23" i="2"/>
  <c r="AS23" i="2" s="1"/>
  <c r="AR23" i="2" s="1"/>
  <c r="AW31" i="2" s="1"/>
  <c r="AY31" i="2" s="1"/>
  <c r="AM21" i="2"/>
  <c r="AS21" i="2" s="1"/>
  <c r="AR21" i="2" s="1"/>
  <c r="AW29" i="2" s="1"/>
  <c r="AY29" i="2" s="1"/>
  <c r="AM17" i="2"/>
  <c r="AS17" i="2" s="1"/>
  <c r="AR17" i="2" s="1"/>
  <c r="AW25" i="2" s="1"/>
  <c r="AY25" i="2" s="1"/>
  <c r="AM12" i="2"/>
  <c r="AS12" i="2" s="1"/>
  <c r="AR12" i="2" s="1"/>
  <c r="AW20" i="2" s="1"/>
  <c r="AY20" i="2" s="1"/>
  <c r="Z84" i="2"/>
  <c r="AB83" i="2"/>
  <c r="AM9" i="2"/>
  <c r="AS9" i="2" s="1"/>
  <c r="AR9" i="2" s="1"/>
  <c r="AW17" i="2" s="1"/>
  <c r="AY17" i="2" s="1"/>
  <c r="AM37" i="2"/>
  <c r="AS37" i="2" s="1"/>
  <c r="AR37" i="2" s="1"/>
  <c r="AW45" i="2" s="1"/>
  <c r="AY45" i="2" s="1"/>
  <c r="AM5" i="2"/>
  <c r="AS5" i="2" s="1"/>
  <c r="AR5" i="2" s="1"/>
  <c r="AW13" i="2" s="1"/>
  <c r="AM2" i="2"/>
  <c r="AS2" i="2" s="1"/>
  <c r="AR2" i="2" s="1"/>
  <c r="AM35" i="2"/>
  <c r="AS35" i="2" s="1"/>
  <c r="AR35" i="2" s="1"/>
  <c r="AM30" i="2"/>
  <c r="AS30" i="2" s="1"/>
  <c r="AR30" i="2" s="1"/>
  <c r="AM28" i="2"/>
  <c r="AS28" i="2" s="1"/>
  <c r="AR28" i="2" s="1"/>
  <c r="AM27" i="2"/>
  <c r="AS27" i="2" s="1"/>
  <c r="AR27" i="2" s="1"/>
  <c r="AM19" i="2"/>
  <c r="AS19" i="2" s="1"/>
  <c r="AR19" i="2" s="1"/>
  <c r="AM15" i="2"/>
  <c r="AS15" i="2" s="1"/>
  <c r="AR15" i="2" s="1"/>
  <c r="AW23" i="2" s="1"/>
  <c r="AY23" i="2" s="1"/>
  <c r="AM13" i="2"/>
  <c r="AS13" i="2" s="1"/>
  <c r="AR13" i="2" s="1"/>
  <c r="AW21" i="2" s="1"/>
  <c r="AY21" i="2" s="1"/>
  <c r="AM3" i="2"/>
  <c r="AS3" i="2" s="1"/>
  <c r="AR3" i="2" s="1"/>
  <c r="AM10" i="2"/>
  <c r="AS10" i="2" s="1"/>
  <c r="AR10" i="2" s="1"/>
  <c r="AW18" i="2" s="1"/>
  <c r="AY18" i="2" s="1"/>
  <c r="AM41" i="2"/>
  <c r="AS41" i="2" s="1"/>
  <c r="AR41" i="2" s="1"/>
  <c r="AM4" i="2"/>
  <c r="AS4" i="2" s="1"/>
  <c r="AR4" i="2" s="1"/>
  <c r="O149" i="2"/>
  <c r="AM33" i="2"/>
  <c r="AS33" i="2" s="1"/>
  <c r="AR33" i="2" s="1"/>
  <c r="AM7" i="2"/>
  <c r="AS7" i="2" s="1"/>
  <c r="AR7" i="2" s="1"/>
  <c r="AW15" i="2" s="1"/>
  <c r="I150" i="2"/>
  <c r="J150" i="2" s="1"/>
  <c r="K150" i="2"/>
  <c r="M150" i="2" s="1"/>
  <c r="AM6" i="2"/>
  <c r="AS6" i="2" s="1"/>
  <c r="AR6" i="2" s="1"/>
  <c r="R146" i="2"/>
  <c r="S145" i="2"/>
  <c r="AM39" i="2"/>
  <c r="AS39" i="2" s="1"/>
  <c r="AR39" i="2" s="1"/>
  <c r="AM31" i="2"/>
  <c r="AS31" i="2" s="1"/>
  <c r="AR31" i="2" s="1"/>
  <c r="AM34" i="2"/>
  <c r="AS34" i="2" s="1"/>
  <c r="AR34" i="2" s="1"/>
  <c r="AM25" i="2"/>
  <c r="AS25" i="2" s="1"/>
  <c r="AR25" i="2" s="1"/>
  <c r="AM24" i="2"/>
  <c r="AS24" i="2" s="1"/>
  <c r="AR24" i="2" s="1"/>
  <c r="AM18" i="2"/>
  <c r="AS18" i="2" s="1"/>
  <c r="AR18" i="2" s="1"/>
  <c r="AM14" i="2"/>
  <c r="AS14" i="2" s="1"/>
  <c r="AR14" i="2" s="1"/>
  <c r="AW22" i="2" s="1"/>
  <c r="AY22" i="2" s="1"/>
  <c r="AM8" i="2"/>
  <c r="AS8" i="2" s="1"/>
  <c r="AR8" i="2" s="1"/>
  <c r="Y84" i="2" l="1"/>
  <c r="U85" i="2" s="1"/>
  <c r="Z85" i="2" s="1"/>
  <c r="O150" i="2"/>
  <c r="AX16" i="2"/>
  <c r="AW16" i="2"/>
  <c r="AY16" i="2" s="1"/>
  <c r="AX11" i="2"/>
  <c r="AW11" i="2"/>
  <c r="AX14" i="2"/>
  <c r="AW14" i="2"/>
  <c r="AX12" i="2"/>
  <c r="AW12" i="2"/>
  <c r="AX10" i="2"/>
  <c r="AW10" i="2"/>
  <c r="N150" i="2"/>
  <c r="L150" i="2"/>
  <c r="AX22" i="2"/>
  <c r="AX42" i="2"/>
  <c r="AW42" i="2"/>
  <c r="AY42" i="2" s="1"/>
  <c r="R147" i="2"/>
  <c r="S146" i="2"/>
  <c r="AX19" i="2"/>
  <c r="AX28" i="2"/>
  <c r="AX34" i="2"/>
  <c r="AX35" i="2"/>
  <c r="AW35" i="2"/>
  <c r="AY35" i="2" s="1"/>
  <c r="AX39" i="2"/>
  <c r="AW39" i="2"/>
  <c r="AY39" i="2" s="1"/>
  <c r="AX41" i="2"/>
  <c r="AW41" i="2"/>
  <c r="AY41" i="2" s="1"/>
  <c r="AX21" i="2"/>
  <c r="AX36" i="2"/>
  <c r="AW36" i="2"/>
  <c r="AY36" i="2" s="1"/>
  <c r="AX45" i="2"/>
  <c r="AX13" i="2"/>
  <c r="AX25" i="2"/>
  <c r="AX31" i="2"/>
  <c r="AX40" i="2"/>
  <c r="AX26" i="2"/>
  <c r="AW26" i="2"/>
  <c r="AY26" i="2" s="1"/>
  <c r="AX32" i="2"/>
  <c r="AW32" i="2"/>
  <c r="AY32" i="2" s="1"/>
  <c r="AF82" i="2"/>
  <c r="AH82" i="2" s="1"/>
  <c r="AG82" i="2"/>
  <c r="AX24" i="2"/>
  <c r="AX30" i="2"/>
  <c r="AG84" i="2"/>
  <c r="AF84" i="2"/>
  <c r="AH84" i="2" s="1"/>
  <c r="AX23" i="2"/>
  <c r="AX38" i="2"/>
  <c r="AW38" i="2"/>
  <c r="AY38" i="2" s="1"/>
  <c r="AX17" i="2"/>
  <c r="AX33" i="2"/>
  <c r="AW33" i="2"/>
  <c r="AY33" i="2" s="1"/>
  <c r="AX15" i="2"/>
  <c r="AX44" i="2"/>
  <c r="AX18" i="2"/>
  <c r="AX27" i="2"/>
  <c r="AW27" i="2"/>
  <c r="AY27" i="2" s="1"/>
  <c r="AX43" i="2"/>
  <c r="AW43" i="2"/>
  <c r="AY43" i="2" s="1"/>
  <c r="AG83" i="2"/>
  <c r="AX20" i="2"/>
  <c r="AX29" i="2"/>
  <c r="AX37" i="2"/>
  <c r="AX46" i="2"/>
  <c r="X85" i="2" l="1"/>
  <c r="Y85" i="2" s="1"/>
  <c r="U86" i="2" s="1"/>
  <c r="AA84" i="2"/>
  <c r="AB84" i="2"/>
  <c r="AF33" i="2"/>
  <c r="R148" i="2"/>
  <c r="S147" i="2"/>
  <c r="Z86" i="2" l="1"/>
  <c r="AA85" i="2"/>
  <c r="X86" i="2"/>
  <c r="AB85" i="2"/>
  <c r="R149" i="2"/>
  <c r="S148" i="2"/>
  <c r="Y86" i="2" l="1"/>
  <c r="U87" i="2" s="1"/>
  <c r="S149" i="2"/>
  <c r="R150" i="2"/>
  <c r="Z87" i="2" l="1"/>
  <c r="X87" i="2"/>
  <c r="AA86" i="2"/>
  <c r="AB86" i="2"/>
  <c r="AE13" i="2"/>
  <c r="AG13" i="2" s="1"/>
  <c r="AE12" i="2"/>
  <c r="AE11" i="2"/>
  <c r="AE8" i="2"/>
  <c r="AE19" i="2"/>
  <c r="AE17" i="2"/>
  <c r="AE14" i="2"/>
  <c r="AE10" i="2"/>
  <c r="AE20" i="2"/>
  <c r="AE21" i="2"/>
  <c r="AK21" i="2" s="1"/>
  <c r="AE9" i="2"/>
  <c r="AE15" i="2"/>
  <c r="AG15" i="2" s="1"/>
  <c r="AE7" i="2"/>
  <c r="AE18" i="2"/>
  <c r="AE16" i="2"/>
  <c r="AG16" i="2" s="1"/>
  <c r="S150" i="2"/>
  <c r="AK15" i="2" l="1"/>
  <c r="AF21" i="2"/>
  <c r="AK13" i="2"/>
  <c r="AI21" i="2"/>
  <c r="AH13" i="2"/>
  <c r="AG21" i="2"/>
  <c r="AH21" i="2"/>
  <c r="AK16" i="2"/>
  <c r="Y87" i="2"/>
  <c r="U88" i="2" s="1"/>
  <c r="AI13" i="2"/>
  <c r="AG17" i="2"/>
  <c r="AK17" i="2"/>
  <c r="AG14" i="2"/>
  <c r="AK14" i="2"/>
  <c r="AK7" i="2"/>
  <c r="AH8" i="2"/>
  <c r="AK8" i="2"/>
  <c r="AI8" i="2"/>
  <c r="AG8" i="2"/>
  <c r="AF8" i="2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G18" i="2"/>
  <c r="AK18" i="2"/>
  <c r="AF20" i="2"/>
  <c r="AK20" i="2"/>
  <c r="AI20" i="2"/>
  <c r="AG20" i="2"/>
  <c r="AH20" i="2"/>
  <c r="AK9" i="2"/>
  <c r="AI9" i="2"/>
  <c r="AG9" i="2"/>
  <c r="AH9" i="2"/>
  <c r="AI12" i="2"/>
  <c r="AK12" i="2"/>
  <c r="AH12" i="2"/>
  <c r="AG12" i="2"/>
  <c r="AH10" i="2"/>
  <c r="AI10" i="2"/>
  <c r="AK10" i="2"/>
  <c r="AG10" i="2"/>
  <c r="AK19" i="2"/>
  <c r="AG19" i="2"/>
  <c r="AG11" i="2"/>
  <c r="AH11" i="2"/>
  <c r="AK11" i="2"/>
  <c r="AI11" i="2"/>
  <c r="AJ13" i="2" l="1"/>
  <c r="AJ21" i="2"/>
  <c r="AA87" i="2"/>
  <c r="Z88" i="2"/>
  <c r="X88" i="2"/>
  <c r="AB87" i="2"/>
  <c r="AJ20" i="2"/>
  <c r="AJ10" i="2"/>
  <c r="AJ11" i="2"/>
  <c r="AG23" i="2"/>
  <c r="AF28" i="2" s="1"/>
  <c r="AJ8" i="2"/>
  <c r="AK23" i="2"/>
  <c r="AJ9" i="2"/>
  <c r="AJ12" i="2"/>
  <c r="Y88" i="2" l="1"/>
  <c r="U89" i="2" l="1"/>
  <c r="AB88" i="2"/>
  <c r="X89" i="2" l="1"/>
  <c r="AA88" i="2"/>
  <c r="Z89" i="2"/>
  <c r="Y89" i="2" l="1"/>
  <c r="AB89" i="2" s="1"/>
  <c r="U90" i="2" l="1"/>
  <c r="AA89" i="2" l="1"/>
  <c r="X90" i="2"/>
  <c r="Z90" i="2"/>
  <c r="Y90" i="2" l="1"/>
  <c r="AB90" i="2" s="1"/>
  <c r="U91" i="2" l="1"/>
  <c r="Z91" i="2" l="1"/>
  <c r="AA90" i="2"/>
  <c r="X91" i="2"/>
  <c r="Y91" i="2" l="1"/>
  <c r="U92" i="2" s="1"/>
  <c r="AB91" i="2" l="1"/>
  <c r="Z92" i="2"/>
  <c r="AA91" i="2"/>
  <c r="X92" i="2"/>
  <c r="Y92" i="2" l="1"/>
  <c r="U93" i="2" l="1"/>
  <c r="AB92" i="2"/>
  <c r="X93" i="2" l="1"/>
  <c r="Z93" i="2"/>
  <c r="AA92" i="2"/>
  <c r="Y93" i="2" l="1"/>
  <c r="U94" i="2" s="1"/>
  <c r="AA93" i="2" l="1"/>
  <c r="X94" i="2"/>
  <c r="Z94" i="2"/>
  <c r="AB93" i="2"/>
  <c r="Y94" i="2" l="1"/>
  <c r="U95" i="2" s="1"/>
  <c r="AA94" i="2" s="1"/>
  <c r="X95" i="2" l="1"/>
  <c r="AB94" i="2"/>
  <c r="Z95" i="2"/>
  <c r="Y95" i="2" l="1"/>
  <c r="U96" i="2" s="1"/>
  <c r="AA95" i="2" s="1"/>
  <c r="Z96" i="2" l="1"/>
  <c r="X96" i="2"/>
  <c r="Y96" i="2" s="1"/>
  <c r="AB95" i="2"/>
  <c r="U97" i="2" l="1"/>
  <c r="AB96" i="2"/>
  <c r="X97" i="2" l="1"/>
  <c r="AA96" i="2"/>
  <c r="Z97" i="2"/>
  <c r="Y97" i="2" l="1"/>
  <c r="U98" i="2" s="1"/>
  <c r="Z98" i="2" s="1"/>
  <c r="AA97" i="2" l="1"/>
  <c r="X98" i="2"/>
  <c r="Y98" i="2" s="1"/>
  <c r="AB98" i="2" s="1"/>
  <c r="AB97" i="2"/>
  <c r="U99" i="2" l="1"/>
  <c r="Z99" i="2" l="1"/>
  <c r="X99" i="2"/>
  <c r="AA98" i="2"/>
  <c r="Y99" i="2" l="1"/>
  <c r="U100" i="2" l="1"/>
  <c r="AB99" i="2"/>
  <c r="AA99" i="2" l="1"/>
  <c r="X100" i="2"/>
  <c r="Z100" i="2"/>
  <c r="Y100" i="2" l="1"/>
  <c r="U101" i="2" s="1"/>
  <c r="AA100" i="2" s="1"/>
  <c r="AB100" i="2" l="1"/>
  <c r="X101" i="2"/>
  <c r="Z101" i="2"/>
  <c r="Y101" i="2" l="1"/>
  <c r="U102" i="2" s="1"/>
  <c r="Z102" i="2" l="1"/>
  <c r="AA101" i="2"/>
  <c r="X102" i="2"/>
  <c r="AB101" i="2"/>
  <c r="Y102" i="2" l="1"/>
  <c r="U103" i="2" s="1"/>
  <c r="AA102" i="2" s="1"/>
  <c r="AB102" i="2" l="1"/>
  <c r="Z103" i="2"/>
  <c r="X103" i="2"/>
  <c r="Y103" i="2" l="1"/>
  <c r="U104" i="2" s="1"/>
  <c r="AA103" i="2" l="1"/>
  <c r="Z104" i="2"/>
  <c r="X104" i="2"/>
  <c r="AB103" i="2"/>
  <c r="Y104" i="2" l="1"/>
  <c r="U105" i="2" s="1"/>
  <c r="AA104" i="2" s="1"/>
  <c r="Z105" i="2" l="1"/>
  <c r="X105" i="2"/>
  <c r="AB104" i="2"/>
  <c r="Y105" i="2" l="1"/>
  <c r="U106" i="2" s="1"/>
  <c r="AA105" i="2" l="1"/>
  <c r="X106" i="2"/>
  <c r="Z106" i="2"/>
  <c r="AB105" i="2"/>
  <c r="Y106" i="2" l="1"/>
  <c r="U107" i="2" s="1"/>
  <c r="AB106" i="2" l="1"/>
  <c r="X107" i="2"/>
  <c r="AA106" i="2"/>
  <c r="Z107" i="2"/>
  <c r="Y107" i="2" l="1"/>
  <c r="U108" i="2" s="1"/>
  <c r="X108" i="2" l="1"/>
  <c r="Z108" i="2"/>
  <c r="AA107" i="2"/>
  <c r="AB107" i="2"/>
  <c r="Y108" i="2" l="1"/>
  <c r="U109" i="2" s="1"/>
  <c r="Z109" i="2" l="1"/>
  <c r="AB108" i="2"/>
  <c r="X109" i="2"/>
  <c r="AA108" i="2"/>
  <c r="Y109" i="2" l="1"/>
  <c r="U110" i="2" s="1"/>
  <c r="X110" i="2" s="1"/>
  <c r="AA109" i="2" l="1"/>
  <c r="Z110" i="2"/>
  <c r="Y110" i="2" s="1"/>
  <c r="AB110" i="2" s="1"/>
  <c r="AB109" i="2"/>
  <c r="U111" i="2" l="1"/>
  <c r="AA110" i="2" l="1"/>
  <c r="Z111" i="2"/>
  <c r="X111" i="2"/>
  <c r="Y111" i="2" l="1"/>
  <c r="U112" i="2" l="1"/>
  <c r="AB111" i="2"/>
  <c r="AA111" i="2" l="1"/>
  <c r="X112" i="2"/>
  <c r="Z112" i="2"/>
  <c r="Y112" i="2" l="1"/>
  <c r="AB112" i="2" s="1"/>
  <c r="U113" i="2" l="1"/>
  <c r="AA112" i="2" l="1"/>
  <c r="Z113" i="2"/>
  <c r="X113" i="2"/>
  <c r="Y113" i="2" l="1"/>
  <c r="U114" i="2" s="1"/>
  <c r="AB113" i="2" l="1"/>
  <c r="AA113" i="2"/>
  <c r="X114" i="2"/>
  <c r="Z114" i="2"/>
  <c r="Y114" i="2" l="1"/>
  <c r="U115" i="2" s="1"/>
  <c r="AA114" i="2" l="1"/>
  <c r="X115" i="2"/>
  <c r="Z115" i="2"/>
  <c r="AB114" i="2"/>
  <c r="Y115" i="2" l="1"/>
  <c r="U116" i="2" s="1"/>
  <c r="AB115" i="2" l="1"/>
  <c r="Z116" i="2"/>
  <c r="AA115" i="2"/>
  <c r="X116" i="2"/>
  <c r="Y116" i="2" l="1"/>
  <c r="U117" i="2" s="1"/>
  <c r="AA116" i="2" l="1"/>
  <c r="Z117" i="2"/>
  <c r="X117" i="2"/>
  <c r="AB116" i="2"/>
  <c r="Y117" i="2" l="1"/>
  <c r="U118" i="2" s="1"/>
  <c r="AA117" i="2" l="1"/>
  <c r="Z118" i="2"/>
  <c r="X118" i="2"/>
  <c r="AB117" i="2"/>
  <c r="Y118" i="2" l="1"/>
  <c r="U119" i="2" s="1"/>
  <c r="AA118" i="2" l="1"/>
  <c r="Z119" i="2"/>
  <c r="X119" i="2"/>
  <c r="AB118" i="2"/>
  <c r="Y119" i="2" l="1"/>
  <c r="U120" i="2" s="1"/>
  <c r="X120" i="2" s="1"/>
  <c r="AB119" i="2" l="1"/>
  <c r="Z120" i="2"/>
  <c r="Y120" i="2" s="1"/>
  <c r="AB120" i="2" s="1"/>
  <c r="AA119" i="2"/>
  <c r="U121" i="2" l="1"/>
  <c r="X121" i="2" l="1"/>
  <c r="AA120" i="2"/>
  <c r="Z121" i="2"/>
  <c r="Y121" i="2" l="1"/>
  <c r="U122" i="2" s="1"/>
  <c r="AB121" i="2" l="1"/>
  <c r="X122" i="2"/>
  <c r="Z122" i="2"/>
  <c r="AA121" i="2"/>
  <c r="Y122" i="2" l="1"/>
  <c r="AB122" i="2" l="1"/>
  <c r="U123" i="2"/>
  <c r="AA122" i="2" l="1"/>
  <c r="Z123" i="2"/>
  <c r="X123" i="2"/>
  <c r="Y123" i="2" l="1"/>
  <c r="AB123" i="2" l="1"/>
  <c r="U124" i="2"/>
  <c r="Z124" i="2" l="1"/>
  <c r="AA123" i="2"/>
  <c r="X124" i="2"/>
  <c r="Y124" i="2" l="1"/>
  <c r="U125" i="2" l="1"/>
  <c r="AA124" i="2" s="1"/>
  <c r="AB124" i="2"/>
  <c r="X125" i="2" l="1"/>
  <c r="Z125" i="2"/>
  <c r="Y125" i="2" l="1"/>
  <c r="U126" i="2" s="1"/>
  <c r="X126" i="2" s="1"/>
  <c r="AB125" i="2" l="1"/>
  <c r="Z126" i="2"/>
  <c r="Y126" i="2" s="1"/>
  <c r="U127" i="2" s="1"/>
  <c r="AA125" i="2"/>
  <c r="AB126" i="2" l="1"/>
  <c r="AA126" i="2"/>
  <c r="Z127" i="2"/>
  <c r="X127" i="2"/>
  <c r="Y127" i="2" l="1"/>
  <c r="U128" i="2" s="1"/>
  <c r="X128" i="2" l="1"/>
  <c r="Z128" i="2"/>
  <c r="AB127" i="2"/>
  <c r="AA127" i="2"/>
  <c r="Y128" i="2" l="1"/>
  <c r="U129" i="2" s="1"/>
  <c r="AA128" i="2" s="1"/>
  <c r="AB128" i="2" l="1"/>
  <c r="Z129" i="2"/>
  <c r="X129" i="2"/>
  <c r="Y129" i="2" l="1"/>
  <c r="U130" i="2" s="1"/>
  <c r="Z130" i="2" s="1"/>
  <c r="AB129" i="2" l="1"/>
  <c r="X130" i="2"/>
  <c r="AA129" i="2"/>
  <c r="Y130" i="2" l="1"/>
  <c r="AB130" i="2" s="1"/>
  <c r="U131" i="2" l="1"/>
  <c r="Z131" i="2" l="1"/>
  <c r="X131" i="2"/>
  <c r="AA130" i="2"/>
  <c r="Y131" i="2" l="1"/>
  <c r="AB131" i="2" s="1"/>
  <c r="U132" i="2" l="1"/>
  <c r="AA131" i="2" l="1"/>
  <c r="X132" i="2"/>
  <c r="Z132" i="2"/>
  <c r="Y132" i="2" l="1"/>
  <c r="AB132" i="2" s="1"/>
  <c r="U133" i="2" l="1"/>
  <c r="AA132" i="2" l="1"/>
  <c r="Z133" i="2"/>
  <c r="X133" i="2"/>
  <c r="Y133" i="2" s="1"/>
  <c r="U134" i="2" s="1"/>
  <c r="AB133" i="2" l="1"/>
  <c r="Z134" i="2"/>
  <c r="X134" i="2"/>
  <c r="AA133" i="2"/>
  <c r="Y134" i="2" l="1"/>
  <c r="U135" i="2" s="1"/>
  <c r="Z135" i="2" s="1"/>
  <c r="AB134" i="2" l="1"/>
  <c r="AA134" i="2"/>
  <c r="X135" i="2"/>
  <c r="Y135" i="2" l="1"/>
  <c r="U136" i="2" s="1"/>
  <c r="X136" i="2" l="1"/>
  <c r="Z136" i="2"/>
  <c r="AA135" i="2"/>
  <c r="AB135" i="2"/>
  <c r="Y136" i="2" l="1"/>
  <c r="U137" i="2" s="1"/>
  <c r="AA136" i="2" s="1"/>
  <c r="AB136" i="2" l="1"/>
  <c r="X137" i="2"/>
  <c r="Z137" i="2"/>
  <c r="Y137" i="2" l="1"/>
  <c r="U138" i="2" s="1"/>
  <c r="Z138" i="2" s="1"/>
  <c r="X138" i="2" l="1"/>
  <c r="Y138" i="2" s="1"/>
  <c r="U139" i="2" s="1"/>
  <c r="AA138" i="2" s="1"/>
  <c r="AA137" i="2"/>
  <c r="AB137" i="2"/>
  <c r="X139" i="2" l="1"/>
  <c r="Y139" i="2" s="1"/>
  <c r="U140" i="2" s="1"/>
  <c r="AA139" i="2" s="1"/>
  <c r="Z139" i="2"/>
  <c r="AB138" i="2"/>
  <c r="AB139" i="2" l="1"/>
  <c r="X140" i="2"/>
  <c r="Z140" i="2"/>
  <c r="Y140" i="2" l="1"/>
  <c r="U141" i="2" s="1"/>
  <c r="Z141" i="2" s="1"/>
  <c r="AA140" i="2" l="1"/>
  <c r="X141" i="2"/>
  <c r="Y141" i="2" s="1"/>
  <c r="U142" i="2" s="1"/>
  <c r="X142" i="2" s="1"/>
  <c r="AB140" i="2"/>
  <c r="Z142" i="2" l="1"/>
  <c r="Y142" i="2" s="1"/>
  <c r="U143" i="2" s="1"/>
  <c r="Z143" i="2" s="1"/>
  <c r="AB141" i="2"/>
  <c r="AA141" i="2"/>
  <c r="AB142" i="2" l="1"/>
  <c r="X143" i="2"/>
  <c r="Y143" i="2" s="1"/>
  <c r="AA142" i="2"/>
  <c r="U144" i="2" l="1"/>
  <c r="Z144" i="2" s="1"/>
  <c r="AB143" i="2"/>
  <c r="X144" i="2" l="1"/>
  <c r="Y144" i="2" s="1"/>
  <c r="AA143" i="2"/>
  <c r="U145" i="2" l="1"/>
  <c r="AB144" i="2"/>
  <c r="Z145" i="2" l="1"/>
  <c r="X145" i="2"/>
  <c r="Y145" i="2" s="1"/>
  <c r="U146" i="2" s="1"/>
  <c r="AA144" i="2"/>
  <c r="AB145" i="2" l="1"/>
  <c r="AF32" i="2" s="1"/>
  <c r="Z146" i="2"/>
  <c r="AA145" i="2"/>
  <c r="X146" i="2"/>
  <c r="Y146" i="2" l="1"/>
  <c r="U147" i="2" s="1"/>
  <c r="X147" i="2" l="1"/>
  <c r="AA146" i="2"/>
  <c r="Z147" i="2"/>
  <c r="AB146" i="2"/>
  <c r="Y147" i="2" l="1"/>
  <c r="U148" i="2" s="1"/>
  <c r="AB147" i="2" l="1"/>
  <c r="X148" i="2"/>
  <c r="Z148" i="2"/>
  <c r="AA147" i="2"/>
  <c r="Y148" i="2" l="1"/>
  <c r="U149" i="2" s="1"/>
  <c r="X149" i="2" l="1"/>
  <c r="AA148" i="2"/>
  <c r="Z149" i="2"/>
  <c r="AB148" i="2"/>
  <c r="Y149" i="2" l="1"/>
  <c r="U150" i="2" s="1"/>
  <c r="Z150" i="2" l="1"/>
  <c r="AA150" i="2" s="1"/>
  <c r="AA149" i="2"/>
  <c r="X150" i="2"/>
  <c r="AB149" i="2"/>
  <c r="AH7" i="2" l="1"/>
  <c r="AH17" i="2"/>
  <c r="AH18" i="2"/>
  <c r="AH19" i="2"/>
  <c r="Y150" i="2"/>
  <c r="AH14" i="2"/>
  <c r="AH15" i="2"/>
  <c r="AH16" i="2"/>
  <c r="AI7" i="2" l="1"/>
  <c r="AI17" i="2"/>
  <c r="AJ17" i="2" s="1"/>
  <c r="AI18" i="2"/>
  <c r="AJ18" i="2" s="1"/>
  <c r="AI19" i="2"/>
  <c r="AJ19" i="2" s="1"/>
  <c r="AH23" i="2"/>
  <c r="AB150" i="2"/>
  <c r="AI14" i="2"/>
  <c r="AI15" i="2"/>
  <c r="AJ15" i="2" s="1"/>
  <c r="AI16" i="2"/>
  <c r="AJ16" i="2" s="1"/>
  <c r="AJ7" i="2" l="1"/>
  <c r="AY10" i="2"/>
  <c r="AY11" i="2" s="1"/>
  <c r="AY12" i="2" s="1"/>
  <c r="AY13" i="2" s="1"/>
  <c r="AY14" i="2" s="1"/>
  <c r="AY15" i="2" s="1"/>
  <c r="AI23" i="2"/>
  <c r="AJ14" i="2"/>
  <c r="AJ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Walter, Steve - CY EPA</author>
  </authors>
  <commentList>
    <comment ref="D11" authorId="0" shapeId="0" xr:uid="{392BE321-55DF-41FC-954E-D258E8505ED2}">
      <text>
        <r>
          <rPr>
            <b/>
            <sz val="9"/>
            <color indexed="81"/>
            <rFont val="Tahoma"/>
            <family val="2"/>
          </rPr>
          <t>Must be the 20th of the month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<sst xmlns="http://schemas.openxmlformats.org/spreadsheetml/2006/main" count="388" uniqueCount="380">
  <si>
    <t>Interest rates</t>
  </si>
  <si>
    <t>BR</t>
  </si>
  <si>
    <t>Date of change</t>
  </si>
  <si>
    <t>Bank Interest rate</t>
  </si>
  <si>
    <t>1% above Bank rate</t>
  </si>
  <si>
    <t>0.75% above Bank rate</t>
  </si>
  <si>
    <t>0.5% above Bank rate</t>
  </si>
  <si>
    <t>DfE No.</t>
  </si>
  <si>
    <t>col num</t>
  </si>
  <si>
    <t>Above BR</t>
  </si>
  <si>
    <t>Loan Type</t>
  </si>
  <si>
    <t>Daily rate</t>
  </si>
  <si>
    <t>Interest</t>
  </si>
  <si>
    <t>Adj Loan</t>
  </si>
  <si>
    <t>Date</t>
  </si>
  <si>
    <t>Reduce monthly</t>
  </si>
  <si>
    <t>False count</t>
  </si>
  <si>
    <t>Year</t>
  </si>
  <si>
    <t>Month</t>
  </si>
  <si>
    <t>Balance</t>
  </si>
  <si>
    <t>Advance date</t>
  </si>
  <si>
    <t>Repayment</t>
  </si>
  <si>
    <t>Total</t>
  </si>
  <si>
    <t>Dfe No.</t>
  </si>
  <si>
    <t>School name</t>
  </si>
  <si>
    <t>wef</t>
  </si>
  <si>
    <t>Year End</t>
  </si>
  <si>
    <t>Final date</t>
  </si>
  <si>
    <t>Combi</t>
  </si>
  <si>
    <t>Final  dates</t>
  </si>
  <si>
    <t>School Name</t>
  </si>
  <si>
    <t>Capital</t>
  </si>
  <si>
    <t>Accounting</t>
  </si>
  <si>
    <t xml:space="preserve">Please contact Schools Financial Services if you need advice on how to record </t>
  </si>
  <si>
    <t xml:space="preserve">this loan in your school accounts. </t>
  </si>
  <si>
    <t>For your budget planning you will need to note that interest repayments should be</t>
  </si>
  <si>
    <t>charged to revenue while the principal repayments should be charged to capital.</t>
  </si>
  <si>
    <t>The closing balances of your loan each financial year will be:</t>
  </si>
  <si>
    <t>Financial Year</t>
  </si>
  <si>
    <t>Repayments</t>
  </si>
  <si>
    <t>Payments</t>
  </si>
  <si>
    <t>Principal</t>
  </si>
  <si>
    <t/>
  </si>
  <si>
    <t>Advances</t>
  </si>
  <si>
    <t>£</t>
  </si>
  <si>
    <t xml:space="preserve">Assumes loan advanced in one instalment and </t>
  </si>
  <si>
    <t>Total Loan</t>
  </si>
  <si>
    <t>regular monthly repayments of principal and interest</t>
  </si>
  <si>
    <t>commencing one month after loan advanced.</t>
  </si>
  <si>
    <t>Monthly</t>
  </si>
  <si>
    <t>These figures shown for planning purposes only,</t>
  </si>
  <si>
    <t>Final Payment</t>
  </si>
  <si>
    <t>actual repayments will vary with changes of interest</t>
  </si>
  <si>
    <t>Final Date</t>
  </si>
  <si>
    <t>rate and timing of advances and repayments.</t>
  </si>
  <si>
    <t>Set up charge</t>
  </si>
  <si>
    <t>Loan amount</t>
  </si>
  <si>
    <t>End Date</t>
  </si>
  <si>
    <t>Start date</t>
  </si>
  <si>
    <t>Terms monthly</t>
  </si>
  <si>
    <t>Rate Change Info</t>
  </si>
  <si>
    <t>Rate date(s)</t>
  </si>
  <si>
    <t>End date</t>
  </si>
  <si>
    <t>Annual rate</t>
  </si>
  <si>
    <t>Northfleet Nursery</t>
  </si>
  <si>
    <t>Birchwood PRU</t>
  </si>
  <si>
    <t>Enterprise Learning Alliance PRU</t>
  </si>
  <si>
    <t>Two Bridges</t>
  </si>
  <si>
    <t>St John's CE School</t>
  </si>
  <si>
    <t>Repton Manor Primary</t>
  </si>
  <si>
    <t>The Discovery School</t>
  </si>
  <si>
    <t>Maypole Primary School</t>
  </si>
  <si>
    <t xml:space="preserve">Woodlands Primary School </t>
  </si>
  <si>
    <t>Crockenhill Primary School</t>
  </si>
  <si>
    <t>The Anthony Roper Primary School</t>
  </si>
  <si>
    <t>Cobham Primary School</t>
  </si>
  <si>
    <t>Cecil Road Primary School</t>
  </si>
  <si>
    <t>Higham Primary School</t>
  </si>
  <si>
    <t>Lawn Primary School</t>
  </si>
  <si>
    <t>Shears Green Infant School</t>
  </si>
  <si>
    <t>Bean Primary School</t>
  </si>
  <si>
    <t>Capel Primary School</t>
  </si>
  <si>
    <t>Dunton Green Primary School</t>
  </si>
  <si>
    <t>Hadlow School</t>
  </si>
  <si>
    <t>Four Elms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</si>
  <si>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</si>
  <si>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</si>
  <si>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</si>
  <si>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</si>
  <si>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</si>
  <si>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</si>
  <si>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</si>
  <si>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Slade Primary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</si>
  <si>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</si>
  <si>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</si>
  <si>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</si>
  <si>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</si>
  <si>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</si>
  <si>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</si>
  <si>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</si>
  <si>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</si>
  <si>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</si>
  <si>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</si>
  <si>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</si>
  <si>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</si>
  <si>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</si>
  <si>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</si>
  <si>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</si>
  <si>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</si>
  <si>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</si>
  <si>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</si>
  <si>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</si>
  <si>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</si>
  <si>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</si>
  <si>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</si>
  <si>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Lower Halstow School</t>
  </si>
  <si>
    <t>Rodmersham School</t>
  </si>
  <si>
    <t>Rose Street Primary School</t>
  </si>
  <si>
    <t>Canterbury Road Primary School</t>
  </si>
  <si>
    <t>Blean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</si>
  <si>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</si>
  <si>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</si>
  <si>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</si>
  <si>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</si>
  <si>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</si>
  <si>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East Stour Primary School</t>
  </si>
  <si>
    <t>Victoria Road Primary School</t>
  </si>
  <si>
    <t>Willesborough Infant School</t>
  </si>
  <si>
    <t>Bethersden School</t>
  </si>
  <si>
    <t>Brook Community Primary School</t>
  </si>
  <si>
    <t>Challock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</si>
  <si>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</si>
  <si>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</si>
  <si>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</si>
  <si>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</si>
  <si>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</si>
  <si>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</si>
  <si>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Lydden Primary School</t>
  </si>
  <si>
    <t>Preston Primary School</t>
  </si>
  <si>
    <t>Wingham Primary School</t>
  </si>
  <si>
    <t>St Mildred's Primary Infant School</t>
  </si>
  <si>
    <t>Callis Grange Nursery and Infant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</si>
  <si>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</si>
  <si>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</si>
  <si>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</si>
  <si>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</si>
  <si>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</si>
  <si>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</si>
  <si>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</si>
  <si>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Whitfield Aspen School</t>
  </si>
  <si>
    <t>St Paul's Infant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</si>
  <si>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</si>
  <si>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</si>
  <si>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</si>
  <si>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</si>
  <si>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</si>
  <si>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</si>
  <si>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</si>
  <si>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</si>
  <si>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</si>
  <si>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</si>
  <si>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 Margaret's-at-Cliffe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</si>
  <si>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</si>
  <si>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</si>
  <si>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</si>
  <si>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</si>
  <si>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</si>
  <si>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</si>
  <si>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</si>
  <si>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</si>
  <si>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</si>
  <si>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</si>
  <si>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</si>
  <si>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</si>
  <si>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</si>
  <si>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</si>
  <si>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</si>
  <si>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Broadwater Down Primary School</t>
  </si>
  <si>
    <t>West Borough Primary School</t>
  </si>
  <si>
    <t>Long Mead Community Primary School</t>
  </si>
  <si>
    <t>Palm Bay Primary School</t>
  </si>
  <si>
    <t>Kings Farm Primary School</t>
  </si>
  <si>
    <t>Kings Hill School</t>
  </si>
  <si>
    <t>New Ash Green Primary School</t>
  </si>
  <si>
    <t>The Craylands School</t>
  </si>
  <si>
    <t>Churchill Primary (Hawkinge)</t>
  </si>
  <si>
    <t>St Michael's CEJ School, Maidstone</t>
  </si>
  <si>
    <t>St Michael's CEI School, Maidstone</t>
  </si>
  <si>
    <t>Herne CE Infant School and Nursery</t>
  </si>
  <si>
    <t>John Wesley School</t>
  </si>
  <si>
    <t>Phoenix Community Primary School</t>
  </si>
  <si>
    <t>Downsview Primary School</t>
  </si>
  <si>
    <t>Greenfields Primary School</t>
  </si>
  <si>
    <t xml:space="preserve">Castle Hill Community Primary School </t>
  </si>
  <si>
    <t xml:space="preserve">Palace Wood Primary School </t>
  </si>
  <si>
    <t>Hextable Primary School</t>
  </si>
  <si>
    <t>Ashford Oaks Primary School</t>
  </si>
  <si>
    <t>Joy Lane Primary School</t>
  </si>
  <si>
    <t>Green Park Community Primary School</t>
  </si>
  <si>
    <t>Garlinge Primary School</t>
  </si>
  <si>
    <t>Goatlees Primary School</t>
  </si>
  <si>
    <t xml:space="preserve">Northfleet School for Girls </t>
  </si>
  <si>
    <t>Tunbridge Wells Girls' Grammar School</t>
  </si>
  <si>
    <t>Tunbridge Wells Grammar School for Boys</t>
  </si>
  <si>
    <t>Dover Grammar School for Girls</t>
  </si>
  <si>
    <t xml:space="preserve">Maidstone Grammar School </t>
  </si>
  <si>
    <t>Maidstone Grammar School for Girls</t>
  </si>
  <si>
    <t>Simon Langton Girls' Grammar School</t>
  </si>
  <si>
    <t>The Judd School</t>
  </si>
  <si>
    <t>Borough Green Primary School</t>
  </si>
  <si>
    <t>Roseacre Junior School</t>
  </si>
  <si>
    <t>Herne Bay Junior School</t>
  </si>
  <si>
    <t>St Francis' Catholic School, Maidstone</t>
  </si>
  <si>
    <t>Ditton Infant School</t>
  </si>
  <si>
    <t>Greatstone Primary School</t>
  </si>
  <si>
    <t>Wincheap Foundation Primary School</t>
  </si>
  <si>
    <t>Brookfield Junior School (Larkfield)</t>
  </si>
  <si>
    <t>Harcourt Primary School</t>
  </si>
  <si>
    <t>Willesborough Junior School</t>
  </si>
  <si>
    <t>Thamesview School</t>
  </si>
  <si>
    <t>Aylesford School</t>
  </si>
  <si>
    <t>The Malling School</t>
  </si>
  <si>
    <t>The Archbishop’s School</t>
  </si>
  <si>
    <t>Hugh Christie Technology College</t>
  </si>
  <si>
    <t>Northfleet Technology College</t>
  </si>
  <si>
    <t>Dover Grammar School for Boys</t>
  </si>
  <si>
    <t>The Ellington &amp; Hereson School</t>
  </si>
  <si>
    <t>Broomhill Bank School</t>
  </si>
  <si>
    <t>Valence School</t>
  </si>
  <si>
    <t>Bower Grove School</t>
  </si>
  <si>
    <t>St Anthony's School</t>
  </si>
  <si>
    <t>The Ifield School</t>
  </si>
  <si>
    <t>The Foreland School</t>
  </si>
  <si>
    <t>Goldwyn School</t>
  </si>
  <si>
    <t>Rowhill School</t>
  </si>
  <si>
    <t>Elms School (formerly Harbour School)</t>
  </si>
  <si>
    <t>Nexus School</t>
  </si>
  <si>
    <t>Grange Park</t>
  </si>
  <si>
    <t>Five Acre Wood School</t>
  </si>
  <si>
    <t>Stone Bay School</t>
  </si>
  <si>
    <t>The Orchard School</t>
  </si>
  <si>
    <t>St Nicholas' School</t>
  </si>
  <si>
    <t>Portal House School</t>
  </si>
  <si>
    <t>The Wyvern School</t>
  </si>
  <si>
    <t>Oakley School</t>
  </si>
  <si>
    <t>Meadowfield</t>
  </si>
  <si>
    <t>Laleham Gap Specialist School</t>
  </si>
  <si>
    <t>The Rosewood School</t>
  </si>
  <si>
    <t>Maidstone &amp; Malling Alternative Provision</t>
  </si>
  <si>
    <t>Great Chart Primary School</t>
  </si>
  <si>
    <t>Eythorne Elvington Community Primary School</t>
  </si>
  <si>
    <t>St Crispin's Community Primary Infant School</t>
  </si>
  <si>
    <t>St Paul’s CofE (Vol. Con.) Primary School</t>
  </si>
  <si>
    <t>Fawkham CofE (Vol. Con.) Primary School</t>
  </si>
  <si>
    <t>Sedley's CofE (Vol. Con.) Primary School</t>
  </si>
  <si>
    <t>Benenden CofE Primary School</t>
  </si>
  <si>
    <t>Bidborough CofE (Vol. Con.) Primary School</t>
  </si>
  <si>
    <t>Cranbrook CofE Primary School</t>
  </si>
  <si>
    <t>Goudhurst &amp; Kilndown CofE Primary School</t>
  </si>
  <si>
    <t>Hawkhurst CofE Primary School</t>
  </si>
  <si>
    <t>Hildenborough CofE Primary School</t>
  </si>
  <si>
    <t>Lamberhurst St Mary's CofE (Vol. Con.) Primary School</t>
  </si>
  <si>
    <t>Seal CofE (Vol. Con.) Primary School</t>
  </si>
  <si>
    <t>St John's CofE Primary School, Sevenoaks</t>
  </si>
  <si>
    <t>Speldhurst CofE (Vol. Aid.) Primary School</t>
  </si>
  <si>
    <t>Sundridge and Brasted CofE ( Vol. Con.) Primary School</t>
  </si>
  <si>
    <t>St John's CofE Primary School</t>
  </si>
  <si>
    <t>St Mark's CofE Primary School</t>
  </si>
  <si>
    <t>St Peter's CofE Primary School - Tunbridge Wells</t>
  </si>
  <si>
    <t>Crockham Hill CofE (Vol. Con.) Primary School</t>
  </si>
  <si>
    <t>Churchill CofE (Vol. Con.) Primary School</t>
  </si>
  <si>
    <t>St Peter's CofE Primary School - Aylesford</t>
  </si>
  <si>
    <t>Bredhurst CofE (Vol. Con.) Primary School</t>
  </si>
  <si>
    <t>Burham CofE Primary School</t>
  </si>
  <si>
    <t>Harrietsham CofE Primary School</t>
  </si>
  <si>
    <t>Leeds and Broomfield CofE Primary School</t>
  </si>
  <si>
    <t>Thurnham CofE Infant School</t>
  </si>
  <si>
    <t>Trottiscliffe CofE Primary School</t>
  </si>
  <si>
    <t>Ulcombe CofE Primary School</t>
  </si>
  <si>
    <t>Wateringbury CofE Primary School</t>
  </si>
  <si>
    <t>Wouldham, All Saints CofE (Vol. Con.) School</t>
  </si>
  <si>
    <t>St George's CofE ( Vol. Con.) Primary School</t>
  </si>
  <si>
    <t>St Margaret's CofE (Vol. Con.) School, Collier Street</t>
  </si>
  <si>
    <t>Laddingford St. Mary's CofE (Vol. Con.) Primary School</t>
  </si>
  <si>
    <t>Yalding, St Peter and St Paul CofE (Vol. Con.) Primary School</t>
  </si>
  <si>
    <t>Ospringe CofE Primary School</t>
  </si>
  <si>
    <t>Hernhill CofE Primary School</t>
  </si>
  <si>
    <t>Newington CofE Primary School</t>
  </si>
  <si>
    <t>Teynham Parochial CofE Primary School</t>
  </si>
  <si>
    <t>Barham CofE Primary School</t>
  </si>
  <si>
    <t>Bridge and Patrixbourne CofE Primary School</t>
  </si>
  <si>
    <t>Chislet CofE Primary School</t>
  </si>
  <si>
    <t>Littlebourne CofE Primary School</t>
  </si>
  <si>
    <t>St Alphege CofE Infant School</t>
  </si>
  <si>
    <t>Wickhambreaux CofE Primary School</t>
  </si>
  <si>
    <t>John Mayne CofE Primary School, Biddenden</t>
  </si>
  <si>
    <t>Brabourne CofE Primary School</t>
  </si>
  <si>
    <t>Brookland CofE Primary School</t>
  </si>
  <si>
    <t>Chilham, St Mary's CofE Primary School</t>
  </si>
  <si>
    <t>High Halden CofE Primary School</t>
  </si>
  <si>
    <t>Woodchurch CofE Primary School</t>
  </si>
  <si>
    <t>Bodsham CofE Primary School</t>
  </si>
  <si>
    <t>Folkestone, St Martin's CofE Primary School</t>
  </si>
  <si>
    <t>Folkestone, St Peter's CofE Primary School</t>
  </si>
  <si>
    <t>Seabrook CofE Primary School</t>
  </si>
  <si>
    <t>Lyminge CofE Primary School</t>
  </si>
  <si>
    <t>Lympne CofE Primary School</t>
  </si>
  <si>
    <t>Stelling Minnis CofE Primary School</t>
  </si>
  <si>
    <t>Stowting CofE Primary School</t>
  </si>
  <si>
    <t>Selsted CofE Primary School</t>
  </si>
  <si>
    <t>Eastry CofE Primary School</t>
  </si>
  <si>
    <t>Goodnestone CofE Primary School</t>
  </si>
  <si>
    <t>Guston CofE Primary School</t>
  </si>
  <si>
    <t>Nonington CofE Primary School</t>
  </si>
  <si>
    <t>Sibertswold CofE Primary School</t>
  </si>
  <si>
    <t>Birchington CofE Primary School</t>
  </si>
  <si>
    <t xml:space="preserve">Margate, Holy Trinity &amp; St. John's CofE Primary School </t>
  </si>
  <si>
    <t>Westgate on Sea,  St Saviours CofE Junior School</t>
  </si>
  <si>
    <t>Minster CofE Primary School</t>
  </si>
  <si>
    <t>Monkton CofE Primary School</t>
  </si>
  <si>
    <t>St Nicholas at Wade CofE Primary School</t>
  </si>
  <si>
    <t>Frittenden CofE Primary School</t>
  </si>
  <si>
    <t>Egerton CofE Primary School</t>
  </si>
  <si>
    <t>St Lawrence CofE Primary School</t>
  </si>
  <si>
    <t>Boughton-under-Blean and Dunkirk School</t>
  </si>
  <si>
    <t>Lady Joanna Thornhill (Endowed) Primary School</t>
  </si>
  <si>
    <t>St Peter's Methodist (Vol. Con.) Primary School</t>
  </si>
  <si>
    <t>St Matthew's High Brooms CofE (Vol. Con.) Primary School</t>
  </si>
  <si>
    <t>Langafel CofE (Vol. Con.) Primary School</t>
  </si>
  <si>
    <t>Southborough CofE Primary School</t>
  </si>
  <si>
    <t>West Kingsdown, St Edmund's CofE (Vol. Con.) Primary School</t>
  </si>
  <si>
    <t>St Katharine's Knockholt CofE (Vol. Aid.) Primary School</t>
  </si>
  <si>
    <t>Chevening, (St Botolph's) CofE (Vol. Aid.) Primary School</t>
  </si>
  <si>
    <t>Colliers Green CofE Primary School</t>
  </si>
  <si>
    <t>Sissinghurst CofE Primary School</t>
  </si>
  <si>
    <t>Hever CofE (Vol. Aid.) Primary School</t>
  </si>
  <si>
    <t>Penshurst CofE (Vol. Aid.) Primary School</t>
  </si>
  <si>
    <t>Lady Boswell's CofE (Vol. Aid.) Primary School, Sevenoaks</t>
  </si>
  <si>
    <t>Ide Hill CofE Primary School</t>
  </si>
  <si>
    <t>St Barnabas CofE (Vol. Aid.) Primary School</t>
  </si>
  <si>
    <t>St James Primary School</t>
  </si>
  <si>
    <t>Hunton CofE Primary School</t>
  </si>
  <si>
    <t>Platt CofE (Vol. Aid.) Primary School</t>
  </si>
  <si>
    <t>Bapchild and Tonge CofE Primary School</t>
  </si>
  <si>
    <t>Hartlip Endowed CofE Primary School</t>
  </si>
  <si>
    <t>Tunstall CofE Primary School</t>
  </si>
  <si>
    <t>Herne CofE Junior School</t>
  </si>
  <si>
    <t>Whitstable &amp; Seasalter Endowed CofE Junior School</t>
  </si>
  <si>
    <t>Ashford, St Mary's CofE Primary School</t>
  </si>
  <si>
    <t>Wittersham CofE Primary School</t>
  </si>
  <si>
    <t>Elham CofE Primary School</t>
  </si>
  <si>
    <t>Saltwood CofE Primary School</t>
  </si>
  <si>
    <t>Cartwright and Kelsey CofE Primary School</t>
  </si>
  <si>
    <t>Dover, St Mary's CofE Primary School</t>
  </si>
  <si>
    <t>St Peter-in-Thanet CofE Junior School</t>
  </si>
  <si>
    <t>Ramsgate, Holy Trinity CofE Primary School</t>
  </si>
  <si>
    <t>St Mary's CofE (Vol. Aid.) Primary School</t>
  </si>
  <si>
    <t>St Augustine's Catholic Primary School, Hythe</t>
  </si>
  <si>
    <t>St Ethelbert's Catholic Primary School, Ramsgate</t>
  </si>
  <si>
    <t>St Anselm's Catholic Primary School Dartford</t>
  </si>
  <si>
    <t>Our Lady's Catholic Primary School, Dartford</t>
  </si>
  <si>
    <t>St Thomas' Catholic Primary School, Canterbury</t>
  </si>
  <si>
    <t>Hythe Bay CofE Primary School</t>
  </si>
  <si>
    <t>Rusthall, St Paul's C of E VA Primary School</t>
  </si>
  <si>
    <t>Newington Community Primary School and Nursery</t>
  </si>
  <si>
    <t xml:space="preserve">Dartford Science and Technology College </t>
  </si>
  <si>
    <t>The Holmesdale School</t>
  </si>
  <si>
    <t>Snodland CofE (Vol. Aid.) Primary School</t>
  </si>
  <si>
    <t>Ditton CofE Junior School</t>
  </si>
  <si>
    <t>Holy Trinity CofE Primary School, Dartford</t>
  </si>
  <si>
    <t>St Bartholomew's Catholic Primary School, Swanley</t>
  </si>
  <si>
    <t>Simon Langton Grammar School for Boys</t>
  </si>
  <si>
    <t>St George's CofE Foundation School</t>
  </si>
  <si>
    <t>St John's Roman Catholic Comprehensive School</t>
  </si>
  <si>
    <t>The Beacon School</t>
  </si>
  <si>
    <r>
      <t xml:space="preserve">Enter Bank of England base rate </t>
    </r>
    <r>
      <rPr>
        <sz val="10"/>
        <color theme="1"/>
        <rFont val="Calibri"/>
        <family val="2"/>
      </rPr>
      <t>→</t>
    </r>
  </si>
  <si>
    <r>
      <t xml:space="preserve">change on your Repayment plan </t>
    </r>
    <r>
      <rPr>
        <sz val="10"/>
        <color theme="1"/>
        <rFont val="Calibri"/>
        <family val="2"/>
      </rPr>
      <t>→</t>
    </r>
  </si>
  <si>
    <t>Enter any rate here to see the impact of future rate</t>
  </si>
  <si>
    <t>(remember they could go up or down)</t>
  </si>
  <si>
    <t>Link to 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</si>
</sst>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0.000"/>
    <numFmt numFmtId="165" formatCode="0.000000"/>
    <numFmt numFmtId="166" formatCode="&quot;£&quot;#,##0.00"/>
    <numFmt numFmtId="167" formatCode="dd/mm/yy;@"/>
    <numFmt numFmtId="168" formatCode="dd/mm/yy"/>
    <numFmt numFmtId="169" formatCode="&quot;£&quot;#,##0"/>
    <numFmt numFmtId="170" formatCode="0.0000"/>
    <numFmt numFmtId="171" formatCode="0.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2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4" fontId="4" fillId="0" borderId="0" xfId="0" applyNumberFormat="1" applyFont="1" applyProtection="1">
      <protection hidden="1"/>
    </xf>
    <xf numFmtId="0" fontId="4" fillId="0" borderId="0" xfId="0" applyNumberFormat="1" applyFont="1" applyProtection="1"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1" fontId="4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2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14" fontId="4" fillId="0" borderId="0" xfId="0" applyNumberFormat="1" applyFont="1" applyProtection="1">
      <protection hidden="1"/>
    </xf>
    <xf numFmtId="14" fontId="4" fillId="2" borderId="1" xfId="0" applyNumberFormat="1" applyFont="1" applyFill="1" applyBorder="1" applyAlignment="1" applyProtection="1">
      <alignment horizontal="center"/>
      <protection locked="0" hidden="1"/>
    </xf>
    <xf numFmtId="0" fontId="4" fillId="0" borderId="20" xfId="0" applyFont="1" applyBorder="1" applyAlignment="1" applyProtection="1">
      <alignment vertical="center"/>
      <protection hidden="1"/>
    </xf>
    <xf numFmtId="168" fontId="4" fillId="0" borderId="0" xfId="0" applyNumberFormat="1" applyFont="1" applyBorder="1" applyAlignment="1" applyProtection="1">
      <alignment horizontal="center" vertical="center"/>
      <protection hidden="1"/>
    </xf>
    <xf numFmtId="166" fontId="4" fillId="0" borderId="0" xfId="0" applyNumberFormat="1" applyFont="1" applyFill="1" applyBorder="1" applyAlignment="1" applyProtection="1">
      <alignment horizontal="right" vertical="center"/>
      <protection hidden="1"/>
    </xf>
    <xf numFmtId="168" fontId="4" fillId="0" borderId="0" xfId="0" applyNumberFormat="1" applyFont="1" applyBorder="1" applyAlignment="1" applyProtection="1">
      <alignment vertical="center"/>
      <protection hidden="1"/>
    </xf>
    <xf numFmtId="169" fontId="4" fillId="0" borderId="0" xfId="0" applyNumberFormat="1" applyFont="1" applyBorder="1" applyAlignment="1" applyProtection="1">
      <alignment vertical="center" wrapText="1"/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14" fontId="5" fillId="0" borderId="0" xfId="0" applyNumberFormat="1" applyFont="1" applyFill="1" applyBorder="1" applyAlignment="1" applyProtection="1">
      <alignment horizontal="center"/>
      <protection hidden="1"/>
    </xf>
    <xf numFmtId="171" fontId="5" fillId="0" borderId="0" xfId="0" applyNumberFormat="1" applyFont="1" applyFill="1" applyBorder="1" applyAlignment="1" applyProtection="1">
      <alignment horizontal="center"/>
      <protection hidden="1"/>
    </xf>
    <xf numFmtId="2" fontId="4" fillId="0" borderId="0" xfId="0" applyNumberFormat="1" applyFont="1" applyBorder="1" applyAlignment="1" applyProtection="1">
      <alignment vertical="center"/>
      <protection hidden="1"/>
    </xf>
    <xf numFmtId="2" fontId="4" fillId="0" borderId="16" xfId="0" applyNumberFormat="1" applyFont="1" applyBorder="1" applyAlignment="1" applyProtection="1">
      <alignment horizontal="center" vertical="center"/>
      <protection hidden="1"/>
    </xf>
    <xf numFmtId="2" fontId="4" fillId="0" borderId="6" xfId="0" applyNumberFormat="1" applyFont="1" applyBorder="1" applyProtection="1">
      <protection hidden="1"/>
    </xf>
    <xf numFmtId="2" fontId="4" fillId="0" borderId="0" xfId="0" applyNumberFormat="1" applyFont="1" applyBorder="1" applyProtection="1">
      <protection hidden="1"/>
    </xf>
    <xf numFmtId="0" fontId="4" fillId="0" borderId="25" xfId="0" applyFont="1" applyBorder="1" applyProtection="1">
      <protection hidden="1"/>
    </xf>
    <xf numFmtId="0" fontId="9" fillId="0" borderId="25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1" fontId="4" fillId="0" borderId="0" xfId="0" applyNumberFormat="1" applyFont="1" applyFill="1" applyBorder="1" applyAlignment="1" applyProtection="1">
      <alignment horizontal="left"/>
      <protection hidden="1"/>
    </xf>
    <xf numFmtId="1" fontId="4" fillId="0" borderId="26" xfId="0" applyNumberFormat="1" applyFont="1" applyFill="1" applyBorder="1" applyAlignment="1" applyProtection="1">
      <alignment horizontal="left"/>
      <protection hidden="1"/>
    </xf>
    <xf numFmtId="17" fontId="4" fillId="0" borderId="25" xfId="0" applyNumberFormat="1" applyFont="1" applyFill="1" applyBorder="1" applyProtection="1">
      <protection hidden="1"/>
    </xf>
    <xf numFmtId="169" fontId="4" fillId="0" borderId="0" xfId="2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26" xfId="0" applyFont="1" applyFill="1" applyBorder="1" applyAlignment="1" applyProtection="1">
      <alignment horizontal="left"/>
      <protection hidden="1"/>
    </xf>
    <xf numFmtId="0" fontId="4" fillId="0" borderId="25" xfId="0" applyFont="1" applyFill="1" applyBorder="1" applyAlignment="1" applyProtection="1">
      <alignment horizontal="right"/>
      <protection hidden="1"/>
    </xf>
    <xf numFmtId="169" fontId="4" fillId="0" borderId="27" xfId="2" applyNumberFormat="1" applyFont="1" applyFill="1" applyBorder="1" applyProtection="1">
      <protection hidden="1"/>
    </xf>
    <xf numFmtId="5" fontId="4" fillId="0" borderId="0" xfId="0" applyNumberFormat="1" applyFont="1" applyFill="1" applyBorder="1" applyProtection="1">
      <protection hidden="1"/>
    </xf>
    <xf numFmtId="5" fontId="4" fillId="0" borderId="26" xfId="0" applyNumberFormat="1" applyFont="1" applyFill="1" applyBorder="1" applyProtection="1">
      <protection hidden="1"/>
    </xf>
    <xf numFmtId="0" fontId="4" fillId="0" borderId="25" xfId="0" applyFont="1" applyFill="1" applyBorder="1" applyProtection="1">
      <protection hidden="1"/>
    </xf>
    <xf numFmtId="169" fontId="4" fillId="0" borderId="0" xfId="0" applyNumberFormat="1" applyFont="1" applyFill="1" applyBorder="1" applyProtection="1">
      <protection hidden="1"/>
    </xf>
    <xf numFmtId="7" fontId="4" fillId="0" borderId="0" xfId="0" applyNumberFormat="1" applyFont="1" applyFill="1" applyBorder="1" applyProtection="1">
      <protection hidden="1"/>
    </xf>
    <xf numFmtId="7" fontId="4" fillId="0" borderId="26" xfId="0" applyNumberFormat="1" applyFont="1" applyFill="1" applyBorder="1" applyProtection="1">
      <protection hidden="1"/>
    </xf>
    <xf numFmtId="166" fontId="4" fillId="0" borderId="0" xfId="0" applyNumberFormat="1" applyFont="1" applyFill="1" applyBorder="1" applyProtection="1">
      <protection hidden="1"/>
    </xf>
    <xf numFmtId="3" fontId="4" fillId="0" borderId="0" xfId="0" applyNumberFormat="1" applyFont="1" applyFill="1" applyBorder="1" applyAlignment="1" applyProtection="1">
      <protection hidden="1"/>
    </xf>
    <xf numFmtId="170" fontId="4" fillId="0" borderId="0" xfId="0" applyNumberFormat="1" applyFont="1" applyFill="1" applyBorder="1" applyProtection="1">
      <protection hidden="1"/>
    </xf>
    <xf numFmtId="0" fontId="4" fillId="0" borderId="26" xfId="0" applyFont="1" applyFill="1" applyBorder="1" applyProtection="1">
      <protection hidden="1"/>
    </xf>
    <xf numFmtId="8" fontId="4" fillId="0" borderId="0" xfId="0" applyNumberFormat="1" applyFont="1" applyFill="1" applyBorder="1" applyAlignment="1" applyProtection="1">
      <alignment wrapText="1"/>
      <protection hidden="1"/>
    </xf>
    <xf numFmtId="167" fontId="4" fillId="0" borderId="0" xfId="0" applyNumberFormat="1" applyFont="1" applyFill="1" applyBorder="1" applyProtection="1">
      <protection hidden="1"/>
    </xf>
    <xf numFmtId="0" fontId="4" fillId="0" borderId="25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Border="1" applyProtection="1">
      <protection hidden="1"/>
    </xf>
    <xf numFmtId="0" fontId="4" fillId="0" borderId="26" xfId="0" applyFont="1" applyFill="1" applyBorder="1" applyAlignment="1" applyProtection="1">
      <protection hidden="1"/>
    </xf>
    <xf numFmtId="0" fontId="4" fillId="0" borderId="8" xfId="0" applyFont="1" applyFill="1" applyBorder="1" applyAlignment="1" applyProtection="1">
      <protection hidden="1"/>
    </xf>
    <xf numFmtId="3" fontId="4" fillId="0" borderId="9" xfId="2" applyNumberFormat="1" applyFont="1" applyFill="1" applyBorder="1" applyAlignment="1" applyProtection="1">
      <protection hidden="1"/>
    </xf>
    <xf numFmtId="0" fontId="4" fillId="0" borderId="9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0" fontId="8" fillId="0" borderId="0" xfId="0" applyFont="1" applyFill="1" applyBorder="1" applyProtection="1">
      <protection hidden="1"/>
    </xf>
    <xf numFmtId="166" fontId="4" fillId="0" borderId="0" xfId="0" applyNumberFormat="1" applyFont="1" applyBorder="1" applyAlignment="1" applyProtection="1">
      <alignment horizontal="right" vertical="center"/>
      <protection hidden="1"/>
    </xf>
    <xf numFmtId="0" fontId="4" fillId="0" borderId="16" xfId="0" applyFont="1" applyBorder="1" applyProtection="1"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8" fontId="13" fillId="0" borderId="0" xfId="0" applyNumberFormat="1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2" borderId="1" xfId="0" applyFont="1" applyFill="1" applyBorder="1" applyAlignment="1" applyProtection="1">
      <alignment horizontal="center"/>
      <protection locked="0" hidden="1"/>
    </xf>
    <xf numFmtId="10" fontId="5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65" fontId="13" fillId="0" borderId="0" xfId="0" applyNumberFormat="1" applyFont="1" applyFill="1" applyProtection="1">
      <protection hidden="1"/>
    </xf>
    <xf numFmtId="2" fontId="13" fillId="0" borderId="0" xfId="0" applyNumberFormat="1" applyFont="1" applyFill="1" applyAlignment="1" applyProtection="1">
      <alignment horizontal="center"/>
      <protection hidden="1"/>
    </xf>
    <xf numFmtId="1" fontId="13" fillId="0" borderId="0" xfId="0" applyNumberFormat="1" applyFont="1" applyFill="1" applyAlignment="1" applyProtection="1">
      <alignment horizontal="center"/>
      <protection hidden="1"/>
    </xf>
    <xf numFmtId="14" fontId="13" fillId="0" borderId="0" xfId="0" applyNumberFormat="1" applyFont="1" applyAlignment="1" applyProtection="1">
      <alignment horizontal="center"/>
      <protection hidden="1"/>
    </xf>
    <xf numFmtId="166" fontId="13" fillId="0" borderId="0" xfId="0" applyNumberFormat="1" applyFont="1" applyFill="1" applyProtection="1">
      <protection hidden="1"/>
    </xf>
    <xf numFmtId="8" fontId="13" fillId="0" borderId="0" xfId="0" applyNumberFormat="1" applyFont="1" applyFill="1" applyProtection="1">
      <protection hidden="1"/>
    </xf>
    <xf numFmtId="166" fontId="13" fillId="0" borderId="0" xfId="0" applyNumberFormat="1" applyFont="1" applyProtection="1">
      <protection hidden="1"/>
    </xf>
    <xf numFmtId="167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protection hidden="1"/>
    </xf>
    <xf numFmtId="167" fontId="13" fillId="3" borderId="0" xfId="0" applyNumberFormat="1" applyFont="1" applyFill="1" applyProtection="1">
      <protection hidden="1"/>
    </xf>
    <xf numFmtId="167" fontId="13" fillId="0" borderId="0" xfId="0" applyNumberFormat="1" applyFont="1" applyProtection="1">
      <protection hidden="1"/>
    </xf>
    <xf numFmtId="0" fontId="13" fillId="0" borderId="0" xfId="0" applyNumberFormat="1" applyFont="1" applyProtection="1">
      <protection hidden="1"/>
    </xf>
    <xf numFmtId="0" fontId="13" fillId="0" borderId="16" xfId="0" applyFont="1" applyBorder="1" applyProtection="1">
      <protection hidden="1"/>
    </xf>
    <xf numFmtId="0" fontId="13" fillId="0" borderId="0" xfId="0" applyFont="1" applyAlignment="1" applyProtection="1">
      <alignment vertical="top"/>
      <protection hidden="1"/>
    </xf>
    <xf numFmtId="0" fontId="14" fillId="0" borderId="0" xfId="0" applyFont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8" fontId="13" fillId="0" borderId="0" xfId="0" applyNumberFormat="1" applyFont="1" applyBorder="1" applyAlignment="1" applyProtection="1">
      <protection hidden="1"/>
    </xf>
    <xf numFmtId="8" fontId="13" fillId="0" borderId="14" xfId="0" applyNumberFormat="1" applyFont="1" applyBorder="1" applyAlignment="1" applyProtection="1">
      <protection hidden="1"/>
    </xf>
    <xf numFmtId="0" fontId="13" fillId="0" borderId="15" xfId="0" applyFont="1" applyBorder="1" applyAlignment="1" applyProtection="1">
      <alignment vertical="center"/>
      <protection hidden="1"/>
    </xf>
    <xf numFmtId="8" fontId="13" fillId="0" borderId="16" xfId="0" applyNumberFormat="1" applyFont="1" applyBorder="1" applyAlignment="1" applyProtection="1">
      <protection hidden="1"/>
    </xf>
    <xf numFmtId="0" fontId="13" fillId="0" borderId="17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vertical="center"/>
      <protection hidden="1"/>
    </xf>
    <xf numFmtId="6" fontId="13" fillId="0" borderId="14" xfId="0" applyNumberFormat="1" applyFont="1" applyBorder="1" applyAlignment="1" applyProtection="1">
      <protection hidden="1"/>
    </xf>
    <xf numFmtId="8" fontId="13" fillId="0" borderId="19" xfId="0" applyNumberFormat="1" applyFont="1" applyBorder="1" applyProtection="1">
      <protection hidden="1"/>
    </xf>
    <xf numFmtId="0" fontId="13" fillId="0" borderId="20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169" fontId="13" fillId="2" borderId="28" xfId="0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Border="1" applyProtection="1">
      <protection hidden="1"/>
    </xf>
    <xf numFmtId="0" fontId="13" fillId="2" borderId="29" xfId="0" applyFont="1" applyFill="1" applyBorder="1" applyAlignment="1" applyProtection="1">
      <alignment horizontal="center"/>
      <protection locked="0" hidden="1"/>
    </xf>
    <xf numFmtId="0" fontId="13" fillId="0" borderId="0" xfId="0" applyFont="1" applyAlignment="1" applyProtection="1">
      <protection hidden="1"/>
    </xf>
    <xf numFmtId="0" fontId="13" fillId="0" borderId="0" xfId="0" applyNumberFormat="1" applyFont="1" applyAlignment="1" applyProtection="1">
      <alignment horizontal="center"/>
      <protection hidden="1"/>
    </xf>
    <xf numFmtId="169" fontId="13" fillId="0" borderId="1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3" fillId="0" borderId="21" xfId="0" applyFont="1" applyBorder="1" applyAlignment="1" applyProtection="1">
      <alignment vertical="center"/>
      <protection hidden="1"/>
    </xf>
    <xf numFmtId="0" fontId="13" fillId="0" borderId="5" xfId="0" applyFont="1" applyBorder="1" applyProtection="1">
      <protection hidden="1"/>
    </xf>
    <xf numFmtId="6" fontId="13" fillId="0" borderId="2" xfId="0" applyNumberFormat="1" applyFont="1" applyBorder="1" applyAlignment="1" applyProtection="1">
      <protection hidden="1"/>
    </xf>
    <xf numFmtId="8" fontId="13" fillId="0" borderId="22" xfId="0" applyNumberFormat="1" applyFont="1" applyBorder="1" applyAlignment="1" applyProtection="1">
      <protection hidden="1"/>
    </xf>
    <xf numFmtId="8" fontId="13" fillId="0" borderId="23" xfId="0" applyNumberFormat="1" applyFont="1" applyBorder="1" applyProtection="1">
      <protection hidden="1"/>
    </xf>
    <xf numFmtId="0" fontId="13" fillId="0" borderId="24" xfId="0" applyFont="1" applyBorder="1" applyProtection="1">
      <protection hidden="1"/>
    </xf>
    <xf numFmtId="0" fontId="13" fillId="0" borderId="25" xfId="0" applyFont="1" applyBorder="1" applyProtection="1">
      <protection hidden="1"/>
    </xf>
    <xf numFmtId="0" fontId="13" fillId="0" borderId="26" xfId="0" applyFont="1" applyBorder="1" applyProtection="1">
      <protection hidden="1"/>
    </xf>
    <xf numFmtId="8" fontId="13" fillId="0" borderId="0" xfId="0" applyNumberFormat="1" applyFont="1" applyBorder="1" applyProtection="1">
      <protection hidden="1"/>
    </xf>
    <xf numFmtId="8" fontId="13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6" fontId="13" fillId="0" borderId="0" xfId="0" applyNumberFormat="1" applyFont="1" applyBorder="1" applyAlignment="1" applyProtection="1">
      <alignment horizontal="right" vertical="center" wrapText="1"/>
      <protection hidden="1"/>
    </xf>
    <xf numFmtId="10" fontId="13" fillId="2" borderId="1" xfId="1" applyNumberFormat="1" applyFont="1" applyFill="1" applyBorder="1" applyAlignment="1" applyProtection="1">
      <alignment horizontal="center" vertical="center"/>
      <protection locked="0" hidden="1"/>
    </xf>
    <xf numFmtId="169" fontId="13" fillId="0" borderId="0" xfId="0" applyNumberFormat="1" applyFont="1" applyBorder="1" applyAlignment="1" applyProtection="1">
      <alignment horizontal="center"/>
      <protection hidden="1"/>
    </xf>
    <xf numFmtId="10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0" fontId="13" fillId="0" borderId="7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3" xfId="0" applyFont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5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horizontal="center"/>
      <protection hidden="1"/>
    </xf>
    <xf numFmtId="10" fontId="13" fillId="0" borderId="0" xfId="1" applyNumberFormat="1" applyFont="1" applyFill="1" applyBorder="1" applyAlignment="1" applyProtection="1">
      <alignment horizontal="center" vertical="center"/>
      <protection locked="0" hidden="1"/>
    </xf>
    <xf numFmtId="0" fontId="16" fillId="0" borderId="0" xfId="3" applyAlignment="1" applyProtection="1">
      <alignment horizontal="center"/>
      <protection hidden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3A9E-F978-484E-B9F8-B92F4FC51204}">
  <sheetPr codeName="Sheet1"/>
  <dimension ref="A1:W301"/>
  <sheetViews>
    <sheetView workbookViewId="0">
      <selection activeCell="C17" sqref="C17"/>
    </sheetView>
  </sheetViews>
  <sheetFormatPr defaultRowHeight="14.4" x14ac:dyDescent="0.3"/>
  <cols>
    <col min="1" max="3" width="11.109375" style="10" customWidth="1"/>
    <col min="4" max="4" width="12.88671875" style="10" customWidth="1"/>
    <col min="5" max="5" width="11.5546875" bestFit="1" customWidth="1"/>
    <col min="6" max="6" width="10.5546875" bestFit="1" customWidth="1"/>
  </cols>
  <sheetData>
    <row r="1" spans="1:23" ht="17.399999999999999" x14ac:dyDescent="0.3">
      <c r="A1" s="149" t="s">
        <v>0</v>
      </c>
      <c r="B1" s="149"/>
      <c r="C1" s="1" t="s">
        <v>1</v>
      </c>
      <c r="D1" s="2">
        <v>0.01</v>
      </c>
      <c r="E1" s="2">
        <v>7.4999999999999997E-3</v>
      </c>
      <c r="F1" s="2">
        <v>5.0000000000000001E-3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7.399999999999999" x14ac:dyDescent="0.3">
      <c r="A2" s="3"/>
      <c r="B2" s="3"/>
      <c r="C2" s="1">
        <v>3</v>
      </c>
      <c r="D2" s="1">
        <f>IF(D1="","",C2+1)</f>
        <v>4</v>
      </c>
      <c r="E2" s="1">
        <f t="shared" ref="E2:P2" si="0">IF(E1="","",D2+1)</f>
        <v>5</v>
      </c>
      <c r="F2" s="1">
        <f t="shared" si="0"/>
        <v>6</v>
      </c>
      <c r="G2" s="1" t="str">
        <f t="shared" si="0"/>
        <v/>
      </c>
      <c r="H2" s="1" t="str">
        <f t="shared" si="0"/>
        <v/>
      </c>
      <c r="I2" s="1" t="str">
        <f t="shared" si="0"/>
        <v/>
      </c>
      <c r="J2" s="1" t="str">
        <f t="shared" si="0"/>
        <v/>
      </c>
      <c r="K2" s="1" t="str">
        <f t="shared" si="0"/>
        <v/>
      </c>
      <c r="L2" s="1" t="str">
        <f t="shared" si="0"/>
        <v/>
      </c>
      <c r="M2" s="1" t="str">
        <f t="shared" si="0"/>
        <v/>
      </c>
      <c r="N2" s="1" t="str">
        <f t="shared" si="0"/>
        <v/>
      </c>
      <c r="O2" s="1" t="str">
        <f t="shared" si="0"/>
        <v/>
      </c>
      <c r="P2" s="1" t="str">
        <f t="shared" si="0"/>
        <v/>
      </c>
    </row>
    <row r="3" spans="1:23" ht="27" x14ac:dyDescent="0.3">
      <c r="A3" s="4" t="s">
        <v>2</v>
      </c>
      <c r="B3" s="5"/>
      <c r="C3" s="4" t="s">
        <v>3</v>
      </c>
      <c r="D3" s="4" t="s">
        <v>4</v>
      </c>
      <c r="E3" s="4" t="s">
        <v>5</v>
      </c>
      <c r="F3" s="4" t="s">
        <v>6</v>
      </c>
    </row>
    <row r="4" spans="1:23" x14ac:dyDescent="0.3">
      <c r="A4" s="6">
        <v>39877</v>
      </c>
      <c r="B4" s="7">
        <f>IF(A4="","",IF(A5="",A4+5000,A5-1))</f>
        <v>42585</v>
      </c>
      <c r="C4" s="8">
        <v>5.0000000000000001E-3</v>
      </c>
      <c r="D4" s="9">
        <f>IF(A4="","",C4+$D$1)</f>
        <v>1.4999999999999999E-2</v>
      </c>
      <c r="E4" s="9">
        <f>IF(A4="","",C4+$E$1)</f>
        <v>1.2500000000000001E-2</v>
      </c>
      <c r="F4" s="9">
        <f>IF(A4="","",C4+$F$1)</f>
        <v>0.01</v>
      </c>
    </row>
    <row r="5" spans="1:23" x14ac:dyDescent="0.3">
      <c r="A5" s="6">
        <v>42586</v>
      </c>
      <c r="B5" s="7">
        <f t="shared" ref="B5:B68" si="1">IF(A5="","",IF(A6="",A5+5000,A6-1))</f>
        <v>43040</v>
      </c>
      <c r="C5" s="8">
        <v>2.5000000000000001E-3</v>
      </c>
      <c r="D5" s="9">
        <f>IF(A5="","",C5+$D$1)</f>
        <v>1.2500000000000001E-2</v>
      </c>
      <c r="E5" s="9">
        <f>IF(A5="","",C5+$E$1)</f>
        <v>0.01</v>
      </c>
      <c r="F5" s="9">
        <f>IF(A5="","",C5+$F$1)</f>
        <v>7.4999999999999997E-3</v>
      </c>
    </row>
    <row r="6" spans="1:23" x14ac:dyDescent="0.3">
      <c r="A6" s="6">
        <v>43041</v>
      </c>
      <c r="B6" s="7">
        <f t="shared" si="1"/>
        <v>43313</v>
      </c>
      <c r="C6" s="8">
        <v>5.0000000000000001E-3</v>
      </c>
      <c r="D6" s="9">
        <f>IF(A6="","",C6+$D$1)</f>
        <v>1.4999999999999999E-2</v>
      </c>
      <c r="E6" s="9">
        <f>IF(A6="","",C6+$E$1)</f>
        <v>1.2500000000000001E-2</v>
      </c>
      <c r="F6" s="9">
        <f>IF(A6="","",C6+$F$1)</f>
        <v>0.01</v>
      </c>
    </row>
    <row r="7" spans="1:23" x14ac:dyDescent="0.3">
      <c r="A7" s="6">
        <v>43314</v>
      </c>
      <c r="B7" s="7">
        <f t="shared" si="1"/>
        <v>43900</v>
      </c>
      <c r="C7" s="8">
        <v>7.4999999999999997E-3</v>
      </c>
      <c r="D7" s="9">
        <f>IF(A7="","",C7+$D$1)</f>
        <v>1.7500000000000002E-2</v>
      </c>
      <c r="E7" s="9">
        <f>IF(A7="","",C7+$E$1)</f>
        <v>1.4999999999999999E-2</v>
      </c>
      <c r="F7" s="9">
        <f>IF(A7="","",C7+$F$1)</f>
        <v>1.2500000000000001E-2</v>
      </c>
    </row>
    <row r="8" spans="1:23" x14ac:dyDescent="0.3">
      <c r="A8" s="6">
        <v>43901</v>
      </c>
      <c r="B8" s="7">
        <f t="shared" si="1"/>
        <v>43910</v>
      </c>
      <c r="C8" s="8">
        <v>2.5000000000000001E-3</v>
      </c>
      <c r="D8" s="9">
        <f>IF(A8="","",C8+$D$1)</f>
        <v>1.2500000000000001E-2</v>
      </c>
      <c r="E8" s="9">
        <f>IF(A8="","",C8+$E$1)</f>
        <v>0.01</v>
      </c>
      <c r="F8" s="9">
        <f>IF(A8="","",C8+$F$1)</f>
        <v>7.4999999999999997E-3</v>
      </c>
    </row>
    <row r="9" spans="1:23" x14ac:dyDescent="0.3">
      <c r="A9" s="6">
        <v>43911</v>
      </c>
      <c r="B9" s="7">
        <f t="shared" si="1"/>
        <v>44550</v>
      </c>
      <c r="C9" s="8">
        <v>1E-3</v>
      </c>
      <c r="D9" s="9">
        <f t="shared" ref="D9:D72" si="2">IF(A9="","",C9+$D$1)</f>
        <v>1.0999999999999999E-2</v>
      </c>
      <c r="E9" s="9">
        <f t="shared" ref="E9:E72" si="3">IF(A9="","",C9+$E$1)</f>
        <v>8.5000000000000006E-3</v>
      </c>
      <c r="F9" s="9">
        <f t="shared" ref="F9:F72" si="4">IF(A9="","",C9+$F$1)</f>
        <v>6.0000000000000001E-3</v>
      </c>
    </row>
    <row r="10" spans="1:23" x14ac:dyDescent="0.3">
      <c r="A10" s="6">
        <v>44551</v>
      </c>
      <c r="B10" s="7">
        <f t="shared" si="1"/>
        <v>44594</v>
      </c>
      <c r="C10" s="8">
        <v>2.5000000000000001E-3</v>
      </c>
      <c r="D10" s="9">
        <f t="shared" si="2"/>
        <v>1.2500000000000001E-2</v>
      </c>
      <c r="E10" s="9">
        <f t="shared" si="3"/>
        <v>0.01</v>
      </c>
      <c r="F10" s="9">
        <f t="shared" si="4"/>
        <v>7.4999999999999997E-3</v>
      </c>
    </row>
    <row r="11" spans="1:23" x14ac:dyDescent="0.3">
      <c r="A11" s="6">
        <v>44595</v>
      </c>
      <c r="B11" s="7">
        <f t="shared" si="1"/>
        <v>44640</v>
      </c>
      <c r="C11" s="8">
        <v>5.0000000000000001E-3</v>
      </c>
      <c r="D11" s="9">
        <f t="shared" si="2"/>
        <v>1.4999999999999999E-2</v>
      </c>
      <c r="E11" s="9">
        <f t="shared" si="3"/>
        <v>1.2500000000000001E-2</v>
      </c>
      <c r="F11" s="9">
        <f t="shared" si="4"/>
        <v>0.01</v>
      </c>
    </row>
    <row r="12" spans="1:23" x14ac:dyDescent="0.3">
      <c r="A12" s="6">
        <v>44641</v>
      </c>
      <c r="B12" s="7">
        <f t="shared" si="1"/>
        <v>44685</v>
      </c>
      <c r="C12" s="8">
        <v>7.4999999999999997E-3</v>
      </c>
      <c r="D12" s="9">
        <f t="shared" si="2"/>
        <v>1.7500000000000002E-2</v>
      </c>
      <c r="E12" s="9">
        <f t="shared" si="3"/>
        <v>1.4999999999999999E-2</v>
      </c>
      <c r="F12" s="9">
        <f t="shared" si="4"/>
        <v>1.2500000000000001E-2</v>
      </c>
    </row>
    <row r="13" spans="1:23" x14ac:dyDescent="0.3">
      <c r="A13" s="6">
        <v>44686</v>
      </c>
      <c r="B13" s="7">
        <f t="shared" si="1"/>
        <v>44732</v>
      </c>
      <c r="C13" s="8">
        <v>0.01</v>
      </c>
      <c r="D13" s="9">
        <f t="shared" si="2"/>
        <v>0.02</v>
      </c>
      <c r="E13" s="9">
        <f t="shared" si="3"/>
        <v>1.7500000000000002E-2</v>
      </c>
      <c r="F13" s="9">
        <f t="shared" si="4"/>
        <v>1.4999999999999999E-2</v>
      </c>
    </row>
    <row r="14" spans="1:23" x14ac:dyDescent="0.3">
      <c r="A14" s="6">
        <v>44733</v>
      </c>
      <c r="B14" s="7">
        <f t="shared" si="1"/>
        <v>44776</v>
      </c>
      <c r="C14" s="8">
        <v>1.2500000000000001E-2</v>
      </c>
      <c r="D14" s="9">
        <f t="shared" si="2"/>
        <v>2.2499999999999999E-2</v>
      </c>
      <c r="E14" s="9">
        <f t="shared" si="3"/>
        <v>0.02</v>
      </c>
      <c r="F14" s="9">
        <f t="shared" si="4"/>
        <v>1.7500000000000002E-2</v>
      </c>
    </row>
    <row r="15" spans="1:23" x14ac:dyDescent="0.3">
      <c r="A15" s="6">
        <v>44777</v>
      </c>
      <c r="B15" s="7">
        <f t="shared" si="1"/>
        <v>44825</v>
      </c>
      <c r="C15" s="8">
        <v>1.7500000000000002E-2</v>
      </c>
      <c r="D15" s="9">
        <f t="shared" si="2"/>
        <v>2.7500000000000004E-2</v>
      </c>
      <c r="E15" s="9">
        <f t="shared" si="3"/>
        <v>2.5000000000000001E-2</v>
      </c>
      <c r="F15" s="9">
        <f t="shared" si="4"/>
        <v>2.2500000000000003E-2</v>
      </c>
    </row>
    <row r="16" spans="1:23" x14ac:dyDescent="0.3">
      <c r="A16" s="6">
        <v>44826</v>
      </c>
      <c r="B16" s="7">
        <f t="shared" si="1"/>
        <v>44867</v>
      </c>
      <c r="C16" s="8">
        <v>2.2499999999999999E-2</v>
      </c>
      <c r="D16" s="9">
        <f t="shared" si="2"/>
        <v>3.2500000000000001E-2</v>
      </c>
      <c r="E16" s="9">
        <f t="shared" si="3"/>
        <v>0.03</v>
      </c>
      <c r="F16" s="9">
        <f t="shared" si="4"/>
        <v>2.75E-2</v>
      </c>
    </row>
    <row r="17" spans="1:6" x14ac:dyDescent="0.3">
      <c r="A17" s="6">
        <v>44868</v>
      </c>
      <c r="B17" s="7">
        <f t="shared" si="1"/>
        <v>49868</v>
      </c>
      <c r="C17" s="8">
        <f>IF('School Template'!E17="",'School Template'!E7,'School Template'!E17)</f>
        <v>0</v>
      </c>
      <c r="D17" s="9">
        <f t="shared" si="2"/>
        <v>0.01</v>
      </c>
      <c r="E17" s="9">
        <f t="shared" si="3"/>
        <v>7.4999999999999997E-3</v>
      </c>
      <c r="F17" s="9">
        <f t="shared" si="4"/>
        <v>5.0000000000000001E-3</v>
      </c>
    </row>
    <row r="18" spans="1:6" x14ac:dyDescent="0.3">
      <c r="A18" s="6"/>
      <c r="B18" s="7" t="str">
        <f t="shared" si="1"/>
        <v/>
      </c>
      <c r="C18" s="8"/>
      <c r="D18" s="9" t="str">
        <f t="shared" si="2"/>
        <v/>
      </c>
      <c r="E18" s="9" t="str">
        <f t="shared" si="3"/>
        <v/>
      </c>
      <c r="F18" s="9" t="str">
        <f t="shared" si="4"/>
        <v/>
      </c>
    </row>
    <row r="19" spans="1:6" x14ac:dyDescent="0.3">
      <c r="A19" s="6"/>
      <c r="B19" s="7" t="str">
        <f t="shared" si="1"/>
        <v/>
      </c>
      <c r="C19" s="8"/>
      <c r="D19" s="9" t="str">
        <f t="shared" si="2"/>
        <v/>
      </c>
      <c r="E19" s="9" t="str">
        <f t="shared" si="3"/>
        <v/>
      </c>
      <c r="F19" s="9" t="str">
        <f t="shared" si="4"/>
        <v/>
      </c>
    </row>
    <row r="20" spans="1:6" x14ac:dyDescent="0.3">
      <c r="A20" s="6"/>
      <c r="B20" s="7" t="str">
        <f t="shared" si="1"/>
        <v/>
      </c>
      <c r="C20" s="8"/>
      <c r="D20" s="9" t="str">
        <f t="shared" si="2"/>
        <v/>
      </c>
      <c r="E20" s="9" t="str">
        <f t="shared" si="3"/>
        <v/>
      </c>
      <c r="F20" s="9" t="str">
        <f t="shared" si="4"/>
        <v/>
      </c>
    </row>
    <row r="21" spans="1:6" x14ac:dyDescent="0.3">
      <c r="A21" s="6"/>
      <c r="B21" s="7" t="str">
        <f t="shared" si="1"/>
        <v/>
      </c>
      <c r="C21" s="8"/>
      <c r="D21" s="9" t="str">
        <f t="shared" si="2"/>
        <v/>
      </c>
      <c r="E21" s="9" t="str">
        <f t="shared" si="3"/>
        <v/>
      </c>
      <c r="F21" s="9" t="str">
        <f t="shared" si="4"/>
        <v/>
      </c>
    </row>
    <row r="22" spans="1:6" x14ac:dyDescent="0.3">
      <c r="A22" s="6"/>
      <c r="B22" s="7" t="str">
        <f t="shared" si="1"/>
        <v/>
      </c>
      <c r="C22" s="8"/>
      <c r="D22" s="9" t="str">
        <f t="shared" si="2"/>
        <v/>
      </c>
      <c r="E22" s="9" t="str">
        <f t="shared" si="3"/>
        <v/>
      </c>
      <c r="F22" s="9" t="str">
        <f t="shared" si="4"/>
        <v/>
      </c>
    </row>
    <row r="23" spans="1:6" x14ac:dyDescent="0.3">
      <c r="A23" s="6"/>
      <c r="B23" s="7" t="str">
        <f t="shared" si="1"/>
        <v/>
      </c>
      <c r="C23" s="8"/>
      <c r="D23" s="9" t="str">
        <f t="shared" si="2"/>
        <v/>
      </c>
      <c r="E23" s="9" t="str">
        <f t="shared" si="3"/>
        <v/>
      </c>
      <c r="F23" s="9" t="str">
        <f t="shared" si="4"/>
        <v/>
      </c>
    </row>
    <row r="24" spans="1:6" x14ac:dyDescent="0.3">
      <c r="A24" s="6"/>
      <c r="B24" s="7" t="str">
        <f t="shared" si="1"/>
        <v/>
      </c>
      <c r="C24" s="8"/>
      <c r="D24" s="9" t="str">
        <f t="shared" si="2"/>
        <v/>
      </c>
      <c r="E24" s="9" t="str">
        <f t="shared" si="3"/>
        <v/>
      </c>
      <c r="F24" s="9" t="str">
        <f t="shared" si="4"/>
        <v/>
      </c>
    </row>
    <row r="25" spans="1:6" x14ac:dyDescent="0.3">
      <c r="A25" s="6"/>
      <c r="B25" s="7" t="str">
        <f t="shared" si="1"/>
        <v/>
      </c>
      <c r="C25" s="8"/>
      <c r="D25" s="9" t="str">
        <f t="shared" si="2"/>
        <v/>
      </c>
      <c r="E25" s="9" t="str">
        <f t="shared" si="3"/>
        <v/>
      </c>
      <c r="F25" s="9" t="str">
        <f t="shared" si="4"/>
        <v/>
      </c>
    </row>
    <row r="26" spans="1:6" x14ac:dyDescent="0.3">
      <c r="A26" s="6"/>
      <c r="B26" s="7" t="str">
        <f t="shared" si="1"/>
        <v/>
      </c>
      <c r="C26" s="8"/>
      <c r="D26" s="9" t="str">
        <f t="shared" si="2"/>
        <v/>
      </c>
      <c r="E26" s="9" t="str">
        <f t="shared" si="3"/>
        <v/>
      </c>
      <c r="F26" s="9" t="str">
        <f t="shared" si="4"/>
        <v/>
      </c>
    </row>
    <row r="27" spans="1:6" x14ac:dyDescent="0.3">
      <c r="A27" s="6"/>
      <c r="B27" s="7" t="str">
        <f t="shared" si="1"/>
        <v/>
      </c>
      <c r="C27" s="8"/>
      <c r="D27" s="9" t="str">
        <f t="shared" si="2"/>
        <v/>
      </c>
      <c r="E27" s="9" t="str">
        <f t="shared" si="3"/>
        <v/>
      </c>
      <c r="F27" s="9" t="str">
        <f t="shared" si="4"/>
        <v/>
      </c>
    </row>
    <row r="28" spans="1:6" x14ac:dyDescent="0.3">
      <c r="A28" s="6"/>
      <c r="B28" s="7" t="str">
        <f t="shared" si="1"/>
        <v/>
      </c>
      <c r="C28" s="8"/>
      <c r="D28" s="9" t="str">
        <f t="shared" si="2"/>
        <v/>
      </c>
      <c r="E28" s="9" t="str">
        <f t="shared" si="3"/>
        <v/>
      </c>
      <c r="F28" s="9" t="str">
        <f t="shared" si="4"/>
        <v/>
      </c>
    </row>
    <row r="29" spans="1:6" x14ac:dyDescent="0.3">
      <c r="A29" s="6"/>
      <c r="B29" s="7" t="str">
        <f t="shared" si="1"/>
        <v/>
      </c>
      <c r="C29" s="8"/>
      <c r="D29" s="9" t="str">
        <f t="shared" si="2"/>
        <v/>
      </c>
      <c r="E29" s="9" t="str">
        <f t="shared" si="3"/>
        <v/>
      </c>
      <c r="F29" s="9" t="str">
        <f t="shared" si="4"/>
        <v/>
      </c>
    </row>
    <row r="30" spans="1:6" x14ac:dyDescent="0.3">
      <c r="A30" s="6"/>
      <c r="B30" s="7" t="str">
        <f t="shared" si="1"/>
        <v/>
      </c>
      <c r="C30" s="8"/>
      <c r="D30" s="9" t="str">
        <f t="shared" si="2"/>
        <v/>
      </c>
      <c r="E30" s="9" t="str">
        <f t="shared" si="3"/>
        <v/>
      </c>
      <c r="F30" s="9" t="str">
        <f t="shared" si="4"/>
        <v/>
      </c>
    </row>
    <row r="31" spans="1:6" x14ac:dyDescent="0.3">
      <c r="A31" s="6"/>
      <c r="B31" s="7" t="str">
        <f t="shared" si="1"/>
        <v/>
      </c>
      <c r="C31" s="8"/>
      <c r="D31" s="9" t="str">
        <f t="shared" si="2"/>
        <v/>
      </c>
      <c r="E31" s="9" t="str">
        <f t="shared" si="3"/>
        <v/>
      </c>
      <c r="F31" s="9" t="str">
        <f t="shared" si="4"/>
        <v/>
      </c>
    </row>
    <row r="32" spans="1:6" x14ac:dyDescent="0.3">
      <c r="A32" s="6"/>
      <c r="B32" s="7" t="str">
        <f t="shared" si="1"/>
        <v/>
      </c>
      <c r="C32" s="8"/>
      <c r="D32" s="9" t="str">
        <f t="shared" si="2"/>
        <v/>
      </c>
      <c r="E32" s="9" t="str">
        <f t="shared" si="3"/>
        <v/>
      </c>
      <c r="F32" s="9" t="str">
        <f t="shared" si="4"/>
        <v/>
      </c>
    </row>
    <row r="33" spans="1:6" x14ac:dyDescent="0.3">
      <c r="A33" s="6"/>
      <c r="B33" s="7" t="str">
        <f t="shared" si="1"/>
        <v/>
      </c>
      <c r="C33" s="8"/>
      <c r="D33" s="9" t="str">
        <f t="shared" si="2"/>
        <v/>
      </c>
      <c r="E33" s="9" t="str">
        <f t="shared" si="3"/>
        <v/>
      </c>
      <c r="F33" s="9" t="str">
        <f t="shared" si="4"/>
        <v/>
      </c>
    </row>
    <row r="34" spans="1:6" x14ac:dyDescent="0.3">
      <c r="A34" s="6"/>
      <c r="B34" s="7" t="str">
        <f t="shared" si="1"/>
        <v/>
      </c>
      <c r="C34" s="8"/>
      <c r="D34" s="9" t="str">
        <f t="shared" si="2"/>
        <v/>
      </c>
      <c r="E34" s="9" t="str">
        <f t="shared" si="3"/>
        <v/>
      </c>
      <c r="F34" s="9" t="str">
        <f t="shared" si="4"/>
        <v/>
      </c>
    </row>
    <row r="35" spans="1:6" x14ac:dyDescent="0.3">
      <c r="A35" s="6"/>
      <c r="B35" s="7" t="str">
        <f t="shared" si="1"/>
        <v/>
      </c>
      <c r="C35" s="8"/>
      <c r="D35" s="9" t="str">
        <f t="shared" si="2"/>
        <v/>
      </c>
      <c r="E35" s="9" t="str">
        <f t="shared" si="3"/>
        <v/>
      </c>
      <c r="F35" s="9" t="str">
        <f t="shared" si="4"/>
        <v/>
      </c>
    </row>
    <row r="36" spans="1:6" x14ac:dyDescent="0.3">
      <c r="A36" s="6"/>
      <c r="B36" s="7" t="str">
        <f t="shared" si="1"/>
        <v/>
      </c>
      <c r="C36" s="8"/>
      <c r="D36" s="9" t="str">
        <f t="shared" si="2"/>
        <v/>
      </c>
      <c r="E36" s="9" t="str">
        <f t="shared" si="3"/>
        <v/>
      </c>
      <c r="F36" s="9" t="str">
        <f t="shared" si="4"/>
        <v/>
      </c>
    </row>
    <row r="37" spans="1:6" x14ac:dyDescent="0.3">
      <c r="A37" s="6"/>
      <c r="B37" s="7" t="str">
        <f t="shared" si="1"/>
        <v/>
      </c>
      <c r="C37" s="8"/>
      <c r="D37" s="9" t="str">
        <f t="shared" si="2"/>
        <v/>
      </c>
      <c r="E37" s="9" t="str">
        <f t="shared" si="3"/>
        <v/>
      </c>
      <c r="F37" s="9" t="str">
        <f t="shared" si="4"/>
        <v/>
      </c>
    </row>
    <row r="38" spans="1:6" x14ac:dyDescent="0.3">
      <c r="A38" s="6"/>
      <c r="B38" s="7" t="str">
        <f t="shared" si="1"/>
        <v/>
      </c>
      <c r="C38" s="8"/>
      <c r="D38" s="9" t="str">
        <f t="shared" si="2"/>
        <v/>
      </c>
      <c r="E38" s="9" t="str">
        <f t="shared" si="3"/>
        <v/>
      </c>
      <c r="F38" s="9" t="str">
        <f t="shared" si="4"/>
        <v/>
      </c>
    </row>
    <row r="39" spans="1:6" x14ac:dyDescent="0.3">
      <c r="A39" s="6"/>
      <c r="B39" s="7" t="str">
        <f t="shared" si="1"/>
        <v/>
      </c>
      <c r="C39" s="8"/>
      <c r="D39" s="9" t="str">
        <f t="shared" si="2"/>
        <v/>
      </c>
      <c r="E39" s="9" t="str">
        <f t="shared" si="3"/>
        <v/>
      </c>
      <c r="F39" s="9" t="str">
        <f t="shared" si="4"/>
        <v/>
      </c>
    </row>
    <row r="40" spans="1:6" x14ac:dyDescent="0.3">
      <c r="A40" s="6"/>
      <c r="B40" s="7" t="str">
        <f t="shared" si="1"/>
        <v/>
      </c>
      <c r="C40" s="8"/>
      <c r="D40" s="9" t="str">
        <f t="shared" si="2"/>
        <v/>
      </c>
      <c r="E40" s="9" t="str">
        <f t="shared" si="3"/>
        <v/>
      </c>
      <c r="F40" s="9" t="str">
        <f t="shared" si="4"/>
        <v/>
      </c>
    </row>
    <row r="41" spans="1:6" x14ac:dyDescent="0.3">
      <c r="A41" s="6"/>
      <c r="B41" s="7" t="str">
        <f t="shared" si="1"/>
        <v/>
      </c>
      <c r="C41" s="8"/>
      <c r="D41" s="9" t="str">
        <f t="shared" si="2"/>
        <v/>
      </c>
      <c r="E41" s="9" t="str">
        <f t="shared" si="3"/>
        <v/>
      </c>
      <c r="F41" s="9" t="str">
        <f t="shared" si="4"/>
        <v/>
      </c>
    </row>
    <row r="42" spans="1:6" x14ac:dyDescent="0.3">
      <c r="A42" s="6"/>
      <c r="B42" s="7" t="str">
        <f t="shared" si="1"/>
        <v/>
      </c>
      <c r="C42" s="8"/>
      <c r="D42" s="9" t="str">
        <f t="shared" si="2"/>
        <v/>
      </c>
      <c r="E42" s="9" t="str">
        <f t="shared" si="3"/>
        <v/>
      </c>
      <c r="F42" s="9" t="str">
        <f t="shared" si="4"/>
        <v/>
      </c>
    </row>
    <row r="43" spans="1:6" x14ac:dyDescent="0.3">
      <c r="A43" s="6"/>
      <c r="B43" s="7" t="str">
        <f t="shared" si="1"/>
        <v/>
      </c>
      <c r="C43" s="8"/>
      <c r="D43" s="9" t="str">
        <f t="shared" si="2"/>
        <v/>
      </c>
      <c r="E43" s="9" t="str">
        <f t="shared" si="3"/>
        <v/>
      </c>
      <c r="F43" s="9" t="str">
        <f t="shared" si="4"/>
        <v/>
      </c>
    </row>
    <row r="44" spans="1:6" x14ac:dyDescent="0.3">
      <c r="A44" s="6"/>
      <c r="B44" s="7" t="str">
        <f t="shared" si="1"/>
        <v/>
      </c>
      <c r="C44" s="8"/>
      <c r="D44" s="9" t="str">
        <f t="shared" si="2"/>
        <v/>
      </c>
      <c r="E44" s="9" t="str">
        <f t="shared" si="3"/>
        <v/>
      </c>
      <c r="F44" s="9" t="str">
        <f t="shared" si="4"/>
        <v/>
      </c>
    </row>
    <row r="45" spans="1:6" x14ac:dyDescent="0.3">
      <c r="A45" s="6"/>
      <c r="B45" s="7" t="str">
        <f t="shared" si="1"/>
        <v/>
      </c>
      <c r="C45" s="8"/>
      <c r="D45" s="9" t="str">
        <f t="shared" si="2"/>
        <v/>
      </c>
      <c r="E45" s="9" t="str">
        <f t="shared" si="3"/>
        <v/>
      </c>
      <c r="F45" s="9" t="str">
        <f t="shared" si="4"/>
        <v/>
      </c>
    </row>
    <row r="46" spans="1:6" x14ac:dyDescent="0.3">
      <c r="A46" s="6"/>
      <c r="B46" s="7" t="str">
        <f t="shared" si="1"/>
        <v/>
      </c>
      <c r="C46" s="8"/>
      <c r="D46" s="9" t="str">
        <f t="shared" si="2"/>
        <v/>
      </c>
      <c r="E46" s="9" t="str">
        <f t="shared" si="3"/>
        <v/>
      </c>
      <c r="F46" s="9" t="str">
        <f t="shared" si="4"/>
        <v/>
      </c>
    </row>
    <row r="47" spans="1:6" x14ac:dyDescent="0.3">
      <c r="A47" s="6"/>
      <c r="B47" s="7" t="str">
        <f t="shared" si="1"/>
        <v/>
      </c>
      <c r="C47" s="8"/>
      <c r="D47" s="9" t="str">
        <f t="shared" si="2"/>
        <v/>
      </c>
      <c r="E47" s="9" t="str">
        <f t="shared" si="3"/>
        <v/>
      </c>
      <c r="F47" s="9" t="str">
        <f t="shared" si="4"/>
        <v/>
      </c>
    </row>
    <row r="48" spans="1:6" x14ac:dyDescent="0.3">
      <c r="A48" s="6"/>
      <c r="B48" s="7" t="str">
        <f t="shared" si="1"/>
        <v/>
      </c>
      <c r="C48" s="8"/>
      <c r="D48" s="9" t="str">
        <f t="shared" si="2"/>
        <v/>
      </c>
      <c r="E48" s="9" t="str">
        <f t="shared" si="3"/>
        <v/>
      </c>
      <c r="F48" s="9" t="str">
        <f t="shared" si="4"/>
        <v/>
      </c>
    </row>
    <row r="49" spans="1:6" x14ac:dyDescent="0.3">
      <c r="A49" s="6"/>
      <c r="B49" s="7" t="str">
        <f t="shared" si="1"/>
        <v/>
      </c>
      <c r="C49" s="8"/>
      <c r="D49" s="9" t="str">
        <f t="shared" si="2"/>
        <v/>
      </c>
      <c r="E49" s="9" t="str">
        <f t="shared" si="3"/>
        <v/>
      </c>
      <c r="F49" s="9" t="str">
        <f t="shared" si="4"/>
        <v/>
      </c>
    </row>
    <row r="50" spans="1:6" x14ac:dyDescent="0.3">
      <c r="A50" s="6"/>
      <c r="B50" s="7" t="str">
        <f t="shared" si="1"/>
        <v/>
      </c>
      <c r="C50" s="8"/>
      <c r="D50" s="9" t="str">
        <f t="shared" si="2"/>
        <v/>
      </c>
      <c r="E50" s="9" t="str">
        <f t="shared" si="3"/>
        <v/>
      </c>
      <c r="F50" s="9" t="str">
        <f t="shared" si="4"/>
        <v/>
      </c>
    </row>
    <row r="51" spans="1:6" x14ac:dyDescent="0.3">
      <c r="A51" s="6"/>
      <c r="B51" s="7" t="str">
        <f t="shared" si="1"/>
        <v/>
      </c>
      <c r="C51" s="8"/>
      <c r="D51" s="9" t="str">
        <f t="shared" si="2"/>
        <v/>
      </c>
      <c r="E51" s="9" t="str">
        <f t="shared" si="3"/>
        <v/>
      </c>
      <c r="F51" s="9" t="str">
        <f t="shared" si="4"/>
        <v/>
      </c>
    </row>
    <row r="52" spans="1:6" x14ac:dyDescent="0.3">
      <c r="A52" s="6"/>
      <c r="B52" s="7" t="str">
        <f t="shared" si="1"/>
        <v/>
      </c>
      <c r="C52" s="8"/>
      <c r="D52" s="9" t="str">
        <f t="shared" si="2"/>
        <v/>
      </c>
      <c r="E52" s="9" t="str">
        <f t="shared" si="3"/>
        <v/>
      </c>
      <c r="F52" s="9" t="str">
        <f t="shared" si="4"/>
        <v/>
      </c>
    </row>
    <row r="53" spans="1:6" x14ac:dyDescent="0.3">
      <c r="A53" s="6"/>
      <c r="B53" s="7" t="str">
        <f t="shared" si="1"/>
        <v/>
      </c>
      <c r="C53" s="8"/>
      <c r="D53" s="9" t="str">
        <f t="shared" si="2"/>
        <v/>
      </c>
      <c r="E53" s="9" t="str">
        <f t="shared" si="3"/>
        <v/>
      </c>
      <c r="F53" s="9" t="str">
        <f t="shared" si="4"/>
        <v/>
      </c>
    </row>
    <row r="54" spans="1:6" x14ac:dyDescent="0.3">
      <c r="A54" s="6"/>
      <c r="B54" s="7" t="str">
        <f t="shared" si="1"/>
        <v/>
      </c>
      <c r="C54" s="8"/>
      <c r="D54" s="9" t="str">
        <f t="shared" si="2"/>
        <v/>
      </c>
      <c r="E54" s="9" t="str">
        <f t="shared" si="3"/>
        <v/>
      </c>
      <c r="F54" s="9" t="str">
        <f t="shared" si="4"/>
        <v/>
      </c>
    </row>
    <row r="55" spans="1:6" x14ac:dyDescent="0.3">
      <c r="A55" s="6"/>
      <c r="B55" s="7" t="str">
        <f t="shared" si="1"/>
        <v/>
      </c>
      <c r="C55" s="8"/>
      <c r="D55" s="9" t="str">
        <f t="shared" si="2"/>
        <v/>
      </c>
      <c r="E55" s="9" t="str">
        <f t="shared" si="3"/>
        <v/>
      </c>
      <c r="F55" s="9" t="str">
        <f t="shared" si="4"/>
        <v/>
      </c>
    </row>
    <row r="56" spans="1:6" x14ac:dyDescent="0.3">
      <c r="A56" s="6"/>
      <c r="B56" s="7" t="str">
        <f t="shared" si="1"/>
        <v/>
      </c>
      <c r="C56" s="8"/>
      <c r="D56" s="9" t="str">
        <f t="shared" si="2"/>
        <v/>
      </c>
      <c r="E56" s="9" t="str">
        <f t="shared" si="3"/>
        <v/>
      </c>
      <c r="F56" s="9" t="str">
        <f t="shared" si="4"/>
        <v/>
      </c>
    </row>
    <row r="57" spans="1:6" x14ac:dyDescent="0.3">
      <c r="A57" s="6"/>
      <c r="B57" s="7" t="str">
        <f t="shared" si="1"/>
        <v/>
      </c>
      <c r="C57" s="8"/>
      <c r="D57" s="9" t="str">
        <f t="shared" si="2"/>
        <v/>
      </c>
      <c r="E57" s="9" t="str">
        <f t="shared" si="3"/>
        <v/>
      </c>
      <c r="F57" s="9" t="str">
        <f t="shared" si="4"/>
        <v/>
      </c>
    </row>
    <row r="58" spans="1:6" x14ac:dyDescent="0.3">
      <c r="A58" s="6"/>
      <c r="B58" s="7" t="str">
        <f t="shared" si="1"/>
        <v/>
      </c>
      <c r="C58" s="8"/>
      <c r="D58" s="9" t="str">
        <f t="shared" si="2"/>
        <v/>
      </c>
      <c r="E58" s="9" t="str">
        <f t="shared" si="3"/>
        <v/>
      </c>
      <c r="F58" s="9" t="str">
        <f t="shared" si="4"/>
        <v/>
      </c>
    </row>
    <row r="59" spans="1:6" x14ac:dyDescent="0.3">
      <c r="A59" s="6"/>
      <c r="B59" s="7" t="str">
        <f t="shared" si="1"/>
        <v/>
      </c>
      <c r="C59" s="8"/>
      <c r="D59" s="9" t="str">
        <f t="shared" si="2"/>
        <v/>
      </c>
      <c r="E59" s="9" t="str">
        <f t="shared" si="3"/>
        <v/>
      </c>
      <c r="F59" s="9" t="str">
        <f t="shared" si="4"/>
        <v/>
      </c>
    </row>
    <row r="60" spans="1:6" x14ac:dyDescent="0.3">
      <c r="A60" s="6"/>
      <c r="B60" s="7" t="str">
        <f t="shared" si="1"/>
        <v/>
      </c>
      <c r="C60" s="8"/>
      <c r="D60" s="9" t="str">
        <f t="shared" si="2"/>
        <v/>
      </c>
      <c r="E60" s="9" t="str">
        <f t="shared" si="3"/>
        <v/>
      </c>
      <c r="F60" s="9" t="str">
        <f t="shared" si="4"/>
        <v/>
      </c>
    </row>
    <row r="61" spans="1:6" x14ac:dyDescent="0.3">
      <c r="A61" s="6"/>
      <c r="B61" s="7" t="str">
        <f t="shared" si="1"/>
        <v/>
      </c>
      <c r="C61" s="8"/>
      <c r="D61" s="9" t="str">
        <f t="shared" si="2"/>
        <v/>
      </c>
      <c r="E61" s="9" t="str">
        <f t="shared" si="3"/>
        <v/>
      </c>
      <c r="F61" s="9" t="str">
        <f t="shared" si="4"/>
        <v/>
      </c>
    </row>
    <row r="62" spans="1:6" x14ac:dyDescent="0.3">
      <c r="A62" s="6"/>
      <c r="B62" s="7" t="str">
        <f t="shared" si="1"/>
        <v/>
      </c>
      <c r="C62" s="8"/>
      <c r="D62" s="9" t="str">
        <f t="shared" si="2"/>
        <v/>
      </c>
      <c r="E62" s="9" t="str">
        <f t="shared" si="3"/>
        <v/>
      </c>
      <c r="F62" s="9" t="str">
        <f t="shared" si="4"/>
        <v/>
      </c>
    </row>
    <row r="63" spans="1:6" x14ac:dyDescent="0.3">
      <c r="A63" s="6"/>
      <c r="B63" s="7" t="str">
        <f t="shared" si="1"/>
        <v/>
      </c>
      <c r="C63" s="8"/>
      <c r="D63" s="9" t="str">
        <f t="shared" si="2"/>
        <v/>
      </c>
      <c r="E63" s="9" t="str">
        <f t="shared" si="3"/>
        <v/>
      </c>
      <c r="F63" s="9" t="str">
        <f t="shared" si="4"/>
        <v/>
      </c>
    </row>
    <row r="64" spans="1:6" x14ac:dyDescent="0.3">
      <c r="A64" s="6"/>
      <c r="B64" s="7" t="str">
        <f t="shared" si="1"/>
        <v/>
      </c>
      <c r="C64" s="8"/>
      <c r="D64" s="9" t="str">
        <f t="shared" si="2"/>
        <v/>
      </c>
      <c r="E64" s="9" t="str">
        <f t="shared" si="3"/>
        <v/>
      </c>
      <c r="F64" s="9" t="str">
        <f t="shared" si="4"/>
        <v/>
      </c>
    </row>
    <row r="65" spans="1:6" x14ac:dyDescent="0.3">
      <c r="A65" s="6"/>
      <c r="B65" s="7" t="str">
        <f t="shared" si="1"/>
        <v/>
      </c>
      <c r="C65" s="8"/>
      <c r="D65" s="9" t="str">
        <f t="shared" si="2"/>
        <v/>
      </c>
      <c r="E65" s="9" t="str">
        <f t="shared" si="3"/>
        <v/>
      </c>
      <c r="F65" s="9" t="str">
        <f t="shared" si="4"/>
        <v/>
      </c>
    </row>
    <row r="66" spans="1:6" x14ac:dyDescent="0.3">
      <c r="A66" s="6"/>
      <c r="B66" s="7" t="str">
        <f t="shared" si="1"/>
        <v/>
      </c>
      <c r="C66" s="8"/>
      <c r="D66" s="9" t="str">
        <f t="shared" si="2"/>
        <v/>
      </c>
      <c r="E66" s="9" t="str">
        <f t="shared" si="3"/>
        <v/>
      </c>
      <c r="F66" s="9" t="str">
        <f t="shared" si="4"/>
        <v/>
      </c>
    </row>
    <row r="67" spans="1:6" x14ac:dyDescent="0.3">
      <c r="A67" s="6"/>
      <c r="B67" s="7" t="str">
        <f t="shared" si="1"/>
        <v/>
      </c>
      <c r="C67" s="8"/>
      <c r="D67" s="9" t="str">
        <f t="shared" si="2"/>
        <v/>
      </c>
      <c r="E67" s="9" t="str">
        <f t="shared" si="3"/>
        <v/>
      </c>
      <c r="F67" s="9" t="str">
        <f t="shared" si="4"/>
        <v/>
      </c>
    </row>
    <row r="68" spans="1:6" x14ac:dyDescent="0.3">
      <c r="A68" s="6"/>
      <c r="B68" s="7" t="str">
        <f t="shared" si="1"/>
        <v/>
      </c>
      <c r="C68" s="8"/>
      <c r="D68" s="9" t="str">
        <f t="shared" si="2"/>
        <v/>
      </c>
      <c r="E68" s="9" t="str">
        <f t="shared" si="3"/>
        <v/>
      </c>
      <c r="F68" s="9" t="str">
        <f t="shared" si="4"/>
        <v/>
      </c>
    </row>
    <row r="69" spans="1:6" x14ac:dyDescent="0.3">
      <c r="A69" s="6"/>
      <c r="B69" s="7" t="str">
        <f t="shared" ref="B69:B132" si="5">IF(A69="","",IF(A70="",A69+5000,A70-1))</f>
        <v/>
      </c>
      <c r="C69" s="8"/>
      <c r="D69" s="9" t="str">
        <f t="shared" si="2"/>
        <v/>
      </c>
      <c r="E69" s="9" t="str">
        <f t="shared" si="3"/>
        <v/>
      </c>
      <c r="F69" s="9" t="str">
        <f t="shared" si="4"/>
        <v/>
      </c>
    </row>
    <row r="70" spans="1:6" x14ac:dyDescent="0.3">
      <c r="A70" s="6"/>
      <c r="B70" s="7" t="str">
        <f t="shared" si="5"/>
        <v/>
      </c>
      <c r="C70" s="8"/>
      <c r="D70" s="9" t="str">
        <f t="shared" si="2"/>
        <v/>
      </c>
      <c r="E70" s="9" t="str">
        <f t="shared" si="3"/>
        <v/>
      </c>
      <c r="F70" s="9" t="str">
        <f t="shared" si="4"/>
        <v/>
      </c>
    </row>
    <row r="71" spans="1:6" x14ac:dyDescent="0.3">
      <c r="A71" s="6"/>
      <c r="B71" s="7" t="str">
        <f t="shared" si="5"/>
        <v/>
      </c>
      <c r="C71" s="8"/>
      <c r="D71" s="9" t="str">
        <f t="shared" si="2"/>
        <v/>
      </c>
      <c r="E71" s="9" t="str">
        <f t="shared" si="3"/>
        <v/>
      </c>
      <c r="F71" s="9" t="str">
        <f t="shared" si="4"/>
        <v/>
      </c>
    </row>
    <row r="72" spans="1:6" x14ac:dyDescent="0.3">
      <c r="A72" s="6"/>
      <c r="B72" s="7" t="str">
        <f t="shared" si="5"/>
        <v/>
      </c>
      <c r="C72" s="8"/>
      <c r="D72" s="9" t="str">
        <f t="shared" si="2"/>
        <v/>
      </c>
      <c r="E72" s="9" t="str">
        <f t="shared" si="3"/>
        <v/>
      </c>
      <c r="F72" s="9" t="str">
        <f t="shared" si="4"/>
        <v/>
      </c>
    </row>
    <row r="73" spans="1:6" x14ac:dyDescent="0.3">
      <c r="A73" s="6"/>
      <c r="B73" s="7" t="str">
        <f t="shared" si="5"/>
        <v/>
      </c>
      <c r="C73" s="8"/>
      <c r="D73" s="9" t="str">
        <f t="shared" ref="D73:D136" si="6">IF(A73="","",C73+$D$1)</f>
        <v/>
      </c>
      <c r="E73" s="9" t="str">
        <f t="shared" ref="E73:E136" si="7">IF(A73="","",C73+$E$1)</f>
        <v/>
      </c>
      <c r="F73" s="9" t="str">
        <f t="shared" ref="F73:F136" si="8">IF(A73="","",C73+$F$1)</f>
        <v/>
      </c>
    </row>
    <row r="74" spans="1:6" x14ac:dyDescent="0.3">
      <c r="A74" s="6"/>
      <c r="B74" s="7" t="str">
        <f t="shared" si="5"/>
        <v/>
      </c>
      <c r="C74" s="8"/>
      <c r="D74" s="9" t="str">
        <f t="shared" si="6"/>
        <v/>
      </c>
      <c r="E74" s="9" t="str">
        <f t="shared" si="7"/>
        <v/>
      </c>
      <c r="F74" s="9" t="str">
        <f t="shared" si="8"/>
        <v/>
      </c>
    </row>
    <row r="75" spans="1:6" x14ac:dyDescent="0.3">
      <c r="A75" s="6"/>
      <c r="B75" s="7" t="str">
        <f t="shared" si="5"/>
        <v/>
      </c>
      <c r="C75" s="8"/>
      <c r="D75" s="9" t="str">
        <f t="shared" si="6"/>
        <v/>
      </c>
      <c r="E75" s="9" t="str">
        <f t="shared" si="7"/>
        <v/>
      </c>
      <c r="F75" s="9" t="str">
        <f t="shared" si="8"/>
        <v/>
      </c>
    </row>
    <row r="76" spans="1:6" x14ac:dyDescent="0.3">
      <c r="A76" s="6"/>
      <c r="B76" s="7" t="str">
        <f t="shared" si="5"/>
        <v/>
      </c>
      <c r="C76" s="8"/>
      <c r="D76" s="9" t="str">
        <f t="shared" si="6"/>
        <v/>
      </c>
      <c r="E76" s="9" t="str">
        <f t="shared" si="7"/>
        <v/>
      </c>
      <c r="F76" s="9" t="str">
        <f t="shared" si="8"/>
        <v/>
      </c>
    </row>
    <row r="77" spans="1:6" x14ac:dyDescent="0.3">
      <c r="A77" s="6"/>
      <c r="B77" s="7" t="str">
        <f t="shared" si="5"/>
        <v/>
      </c>
      <c r="C77" s="8"/>
      <c r="D77" s="9" t="str">
        <f t="shared" si="6"/>
        <v/>
      </c>
      <c r="E77" s="9" t="str">
        <f t="shared" si="7"/>
        <v/>
      </c>
      <c r="F77" s="9" t="str">
        <f t="shared" si="8"/>
        <v/>
      </c>
    </row>
    <row r="78" spans="1:6" x14ac:dyDescent="0.3">
      <c r="A78" s="6"/>
      <c r="B78" s="7" t="str">
        <f t="shared" si="5"/>
        <v/>
      </c>
      <c r="C78" s="8"/>
      <c r="D78" s="9" t="str">
        <f t="shared" si="6"/>
        <v/>
      </c>
      <c r="E78" s="9" t="str">
        <f t="shared" si="7"/>
        <v/>
      </c>
      <c r="F78" s="9" t="str">
        <f t="shared" si="8"/>
        <v/>
      </c>
    </row>
    <row r="79" spans="1:6" x14ac:dyDescent="0.3">
      <c r="A79" s="6"/>
      <c r="B79" s="7" t="str">
        <f t="shared" si="5"/>
        <v/>
      </c>
      <c r="C79" s="8"/>
      <c r="D79" s="9" t="str">
        <f t="shared" si="6"/>
        <v/>
      </c>
      <c r="E79" s="9" t="str">
        <f t="shared" si="7"/>
        <v/>
      </c>
      <c r="F79" s="9" t="str">
        <f t="shared" si="8"/>
        <v/>
      </c>
    </row>
    <row r="80" spans="1:6" x14ac:dyDescent="0.3">
      <c r="A80" s="6"/>
      <c r="B80" s="7" t="str">
        <f t="shared" si="5"/>
        <v/>
      </c>
      <c r="C80" s="8"/>
      <c r="D80" s="9" t="str">
        <f t="shared" si="6"/>
        <v/>
      </c>
      <c r="E80" s="9" t="str">
        <f t="shared" si="7"/>
        <v/>
      </c>
      <c r="F80" s="9" t="str">
        <f t="shared" si="8"/>
        <v/>
      </c>
    </row>
    <row r="81" spans="1:6" x14ac:dyDescent="0.3">
      <c r="A81" s="6"/>
      <c r="B81" s="7" t="str">
        <f t="shared" si="5"/>
        <v/>
      </c>
      <c r="C81" s="8"/>
      <c r="D81" s="9" t="str">
        <f t="shared" si="6"/>
        <v/>
      </c>
      <c r="E81" s="9" t="str">
        <f t="shared" si="7"/>
        <v/>
      </c>
      <c r="F81" s="9" t="str">
        <f t="shared" si="8"/>
        <v/>
      </c>
    </row>
    <row r="82" spans="1:6" x14ac:dyDescent="0.3">
      <c r="A82" s="6"/>
      <c r="B82" s="7" t="str">
        <f t="shared" si="5"/>
        <v/>
      </c>
      <c r="C82" s="8"/>
      <c r="D82" s="9" t="str">
        <f t="shared" si="6"/>
        <v/>
      </c>
      <c r="E82" s="9" t="str">
        <f t="shared" si="7"/>
        <v/>
      </c>
      <c r="F82" s="9" t="str">
        <f t="shared" si="8"/>
        <v/>
      </c>
    </row>
    <row r="83" spans="1:6" x14ac:dyDescent="0.3">
      <c r="A83" s="6"/>
      <c r="B83" s="7" t="str">
        <f t="shared" si="5"/>
        <v/>
      </c>
      <c r="C83" s="8"/>
      <c r="D83" s="9" t="str">
        <f t="shared" si="6"/>
        <v/>
      </c>
      <c r="E83" s="9" t="str">
        <f t="shared" si="7"/>
        <v/>
      </c>
      <c r="F83" s="9" t="str">
        <f t="shared" si="8"/>
        <v/>
      </c>
    </row>
    <row r="84" spans="1:6" x14ac:dyDescent="0.3">
      <c r="A84" s="6"/>
      <c r="B84" s="7" t="str">
        <f t="shared" si="5"/>
        <v/>
      </c>
      <c r="C84" s="8"/>
      <c r="D84" s="9" t="str">
        <f t="shared" si="6"/>
        <v/>
      </c>
      <c r="E84" s="9" t="str">
        <f t="shared" si="7"/>
        <v/>
      </c>
      <c r="F84" s="9" t="str">
        <f t="shared" si="8"/>
        <v/>
      </c>
    </row>
    <row r="85" spans="1:6" x14ac:dyDescent="0.3">
      <c r="A85" s="6"/>
      <c r="B85" s="7" t="str">
        <f t="shared" si="5"/>
        <v/>
      </c>
      <c r="C85" s="8"/>
      <c r="D85" s="9" t="str">
        <f t="shared" si="6"/>
        <v/>
      </c>
      <c r="E85" s="9" t="str">
        <f t="shared" si="7"/>
        <v/>
      </c>
      <c r="F85" s="9" t="str">
        <f t="shared" si="8"/>
        <v/>
      </c>
    </row>
    <row r="86" spans="1:6" x14ac:dyDescent="0.3">
      <c r="A86" s="6"/>
      <c r="B86" s="7" t="str">
        <f t="shared" si="5"/>
        <v/>
      </c>
      <c r="C86" s="8"/>
      <c r="D86" s="9" t="str">
        <f t="shared" si="6"/>
        <v/>
      </c>
      <c r="E86" s="9" t="str">
        <f t="shared" si="7"/>
        <v/>
      </c>
      <c r="F86" s="9" t="str">
        <f t="shared" si="8"/>
        <v/>
      </c>
    </row>
    <row r="87" spans="1:6" x14ac:dyDescent="0.3">
      <c r="A87" s="6"/>
      <c r="B87" s="7" t="str">
        <f t="shared" si="5"/>
        <v/>
      </c>
      <c r="C87" s="8"/>
      <c r="D87" s="9" t="str">
        <f t="shared" si="6"/>
        <v/>
      </c>
      <c r="E87" s="9" t="str">
        <f t="shared" si="7"/>
        <v/>
      </c>
      <c r="F87" s="9" t="str">
        <f t="shared" si="8"/>
        <v/>
      </c>
    </row>
    <row r="88" spans="1:6" x14ac:dyDescent="0.3">
      <c r="A88" s="6"/>
      <c r="B88" s="7" t="str">
        <f t="shared" si="5"/>
        <v/>
      </c>
      <c r="C88" s="8"/>
      <c r="D88" s="9" t="str">
        <f t="shared" si="6"/>
        <v/>
      </c>
      <c r="E88" s="9" t="str">
        <f t="shared" si="7"/>
        <v/>
      </c>
      <c r="F88" s="9" t="str">
        <f t="shared" si="8"/>
        <v/>
      </c>
    </row>
    <row r="89" spans="1:6" x14ac:dyDescent="0.3">
      <c r="A89" s="6"/>
      <c r="B89" s="7" t="str">
        <f t="shared" si="5"/>
        <v/>
      </c>
      <c r="C89" s="8"/>
      <c r="D89" s="9" t="str">
        <f t="shared" si="6"/>
        <v/>
      </c>
      <c r="E89" s="9" t="str">
        <f t="shared" si="7"/>
        <v/>
      </c>
      <c r="F89" s="9" t="str">
        <f t="shared" si="8"/>
        <v/>
      </c>
    </row>
    <row r="90" spans="1:6" x14ac:dyDescent="0.3">
      <c r="A90" s="6"/>
      <c r="B90" s="7" t="str">
        <f t="shared" si="5"/>
        <v/>
      </c>
      <c r="C90" s="8"/>
      <c r="D90" s="9" t="str">
        <f t="shared" si="6"/>
        <v/>
      </c>
      <c r="E90" s="9" t="str">
        <f t="shared" si="7"/>
        <v/>
      </c>
      <c r="F90" s="9" t="str">
        <f t="shared" si="8"/>
        <v/>
      </c>
    </row>
    <row r="91" spans="1:6" x14ac:dyDescent="0.3">
      <c r="A91" s="6"/>
      <c r="B91" s="7" t="str">
        <f t="shared" si="5"/>
        <v/>
      </c>
      <c r="C91" s="8"/>
      <c r="D91" s="9" t="str">
        <f t="shared" si="6"/>
        <v/>
      </c>
      <c r="E91" s="9" t="str">
        <f t="shared" si="7"/>
        <v/>
      </c>
      <c r="F91" s="9" t="str">
        <f t="shared" si="8"/>
        <v/>
      </c>
    </row>
    <row r="92" spans="1:6" x14ac:dyDescent="0.3">
      <c r="A92" s="6"/>
      <c r="B92" s="7" t="str">
        <f t="shared" si="5"/>
        <v/>
      </c>
      <c r="C92" s="8"/>
      <c r="D92" s="9" t="str">
        <f t="shared" si="6"/>
        <v/>
      </c>
      <c r="E92" s="9" t="str">
        <f t="shared" si="7"/>
        <v/>
      </c>
      <c r="F92" s="9" t="str">
        <f t="shared" si="8"/>
        <v/>
      </c>
    </row>
    <row r="93" spans="1:6" x14ac:dyDescent="0.3">
      <c r="A93" s="6"/>
      <c r="B93" s="7" t="str">
        <f t="shared" si="5"/>
        <v/>
      </c>
      <c r="C93" s="8"/>
      <c r="D93" s="9" t="str">
        <f t="shared" si="6"/>
        <v/>
      </c>
      <c r="E93" s="9" t="str">
        <f t="shared" si="7"/>
        <v/>
      </c>
      <c r="F93" s="9" t="str">
        <f t="shared" si="8"/>
        <v/>
      </c>
    </row>
    <row r="94" spans="1:6" x14ac:dyDescent="0.3">
      <c r="A94" s="6"/>
      <c r="B94" s="7" t="str">
        <f t="shared" si="5"/>
        <v/>
      </c>
      <c r="C94" s="8"/>
      <c r="D94" s="9" t="str">
        <f t="shared" si="6"/>
        <v/>
      </c>
      <c r="E94" s="9" t="str">
        <f t="shared" si="7"/>
        <v/>
      </c>
      <c r="F94" s="9" t="str">
        <f t="shared" si="8"/>
        <v/>
      </c>
    </row>
    <row r="95" spans="1:6" x14ac:dyDescent="0.3">
      <c r="A95" s="6"/>
      <c r="B95" s="7" t="str">
        <f t="shared" si="5"/>
        <v/>
      </c>
      <c r="C95" s="8"/>
      <c r="D95" s="9" t="str">
        <f t="shared" si="6"/>
        <v/>
      </c>
      <c r="E95" s="9" t="str">
        <f t="shared" si="7"/>
        <v/>
      </c>
      <c r="F95" s="9" t="str">
        <f t="shared" si="8"/>
        <v/>
      </c>
    </row>
    <row r="96" spans="1:6" x14ac:dyDescent="0.3">
      <c r="A96" s="6"/>
      <c r="B96" s="7" t="str">
        <f t="shared" si="5"/>
        <v/>
      </c>
      <c r="C96" s="8"/>
      <c r="D96" s="9" t="str">
        <f t="shared" si="6"/>
        <v/>
      </c>
      <c r="E96" s="9" t="str">
        <f t="shared" si="7"/>
        <v/>
      </c>
      <c r="F96" s="9" t="str">
        <f t="shared" si="8"/>
        <v/>
      </c>
    </row>
    <row r="97" spans="1:6" x14ac:dyDescent="0.3">
      <c r="A97" s="6"/>
      <c r="B97" s="7" t="str">
        <f t="shared" si="5"/>
        <v/>
      </c>
      <c r="C97" s="8"/>
      <c r="D97" s="9" t="str">
        <f t="shared" si="6"/>
        <v/>
      </c>
      <c r="E97" s="9" t="str">
        <f t="shared" si="7"/>
        <v/>
      </c>
      <c r="F97" s="9" t="str">
        <f t="shared" si="8"/>
        <v/>
      </c>
    </row>
    <row r="98" spans="1:6" x14ac:dyDescent="0.3">
      <c r="A98" s="6"/>
      <c r="B98" s="7" t="str">
        <f t="shared" si="5"/>
        <v/>
      </c>
      <c r="C98" s="8"/>
      <c r="D98" s="9" t="str">
        <f t="shared" si="6"/>
        <v/>
      </c>
      <c r="E98" s="9" t="str">
        <f t="shared" si="7"/>
        <v/>
      </c>
      <c r="F98" s="9" t="str">
        <f t="shared" si="8"/>
        <v/>
      </c>
    </row>
    <row r="99" spans="1:6" x14ac:dyDescent="0.3">
      <c r="A99" s="6"/>
      <c r="B99" s="7" t="str">
        <f t="shared" si="5"/>
        <v/>
      </c>
      <c r="C99" s="8"/>
      <c r="D99" s="9" t="str">
        <f t="shared" si="6"/>
        <v/>
      </c>
      <c r="E99" s="9" t="str">
        <f t="shared" si="7"/>
        <v/>
      </c>
      <c r="F99" s="9" t="str">
        <f t="shared" si="8"/>
        <v/>
      </c>
    </row>
    <row r="100" spans="1:6" x14ac:dyDescent="0.3">
      <c r="A100" s="6"/>
      <c r="B100" s="7" t="str">
        <f t="shared" si="5"/>
        <v/>
      </c>
      <c r="C100" s="8"/>
      <c r="D100" s="9" t="str">
        <f t="shared" si="6"/>
        <v/>
      </c>
      <c r="E100" s="9" t="str">
        <f t="shared" si="7"/>
        <v/>
      </c>
      <c r="F100" s="9" t="str">
        <f t="shared" si="8"/>
        <v/>
      </c>
    </row>
    <row r="101" spans="1:6" x14ac:dyDescent="0.3">
      <c r="A101" s="6"/>
      <c r="B101" s="7" t="str">
        <f t="shared" si="5"/>
        <v/>
      </c>
      <c r="C101" s="8"/>
      <c r="D101" s="9" t="str">
        <f t="shared" si="6"/>
        <v/>
      </c>
      <c r="E101" s="9" t="str">
        <f t="shared" si="7"/>
        <v/>
      </c>
      <c r="F101" s="9" t="str">
        <f t="shared" si="8"/>
        <v/>
      </c>
    </row>
    <row r="102" spans="1:6" x14ac:dyDescent="0.3">
      <c r="A102" s="6"/>
      <c r="B102" s="7" t="str">
        <f t="shared" si="5"/>
        <v/>
      </c>
      <c r="C102" s="8"/>
      <c r="D102" s="9" t="str">
        <f t="shared" si="6"/>
        <v/>
      </c>
      <c r="E102" s="9" t="str">
        <f t="shared" si="7"/>
        <v/>
      </c>
      <c r="F102" s="9" t="str">
        <f t="shared" si="8"/>
        <v/>
      </c>
    </row>
    <row r="103" spans="1:6" x14ac:dyDescent="0.3">
      <c r="A103" s="6"/>
      <c r="B103" s="7" t="str">
        <f t="shared" si="5"/>
        <v/>
      </c>
      <c r="C103" s="8"/>
      <c r="D103" s="9" t="str">
        <f t="shared" si="6"/>
        <v/>
      </c>
      <c r="E103" s="9" t="str">
        <f t="shared" si="7"/>
        <v/>
      </c>
      <c r="F103" s="9" t="str">
        <f t="shared" si="8"/>
        <v/>
      </c>
    </row>
    <row r="104" spans="1:6" x14ac:dyDescent="0.3">
      <c r="A104" s="6"/>
      <c r="B104" s="7" t="str">
        <f t="shared" si="5"/>
        <v/>
      </c>
      <c r="C104" s="8"/>
      <c r="D104" s="9" t="str">
        <f t="shared" si="6"/>
        <v/>
      </c>
      <c r="E104" s="9" t="str">
        <f t="shared" si="7"/>
        <v/>
      </c>
      <c r="F104" s="9" t="str">
        <f t="shared" si="8"/>
        <v/>
      </c>
    </row>
    <row r="105" spans="1:6" x14ac:dyDescent="0.3">
      <c r="A105" s="6"/>
      <c r="B105" s="7" t="str">
        <f t="shared" si="5"/>
        <v/>
      </c>
      <c r="C105" s="8"/>
      <c r="D105" s="9" t="str">
        <f t="shared" si="6"/>
        <v/>
      </c>
      <c r="E105" s="9" t="str">
        <f t="shared" si="7"/>
        <v/>
      </c>
      <c r="F105" s="9" t="str">
        <f t="shared" si="8"/>
        <v/>
      </c>
    </row>
    <row r="106" spans="1:6" x14ac:dyDescent="0.3">
      <c r="A106" s="6"/>
      <c r="B106" s="7" t="str">
        <f t="shared" si="5"/>
        <v/>
      </c>
      <c r="C106" s="8"/>
      <c r="D106" s="9" t="str">
        <f t="shared" si="6"/>
        <v/>
      </c>
      <c r="E106" s="9" t="str">
        <f t="shared" si="7"/>
        <v/>
      </c>
      <c r="F106" s="9" t="str">
        <f t="shared" si="8"/>
        <v/>
      </c>
    </row>
    <row r="107" spans="1:6" x14ac:dyDescent="0.3">
      <c r="A107" s="6"/>
      <c r="B107" s="7" t="str">
        <f t="shared" si="5"/>
        <v/>
      </c>
      <c r="C107" s="8"/>
      <c r="D107" s="9" t="str">
        <f t="shared" si="6"/>
        <v/>
      </c>
      <c r="E107" s="9" t="str">
        <f t="shared" si="7"/>
        <v/>
      </c>
      <c r="F107" s="9" t="str">
        <f t="shared" si="8"/>
        <v/>
      </c>
    </row>
    <row r="108" spans="1:6" x14ac:dyDescent="0.3">
      <c r="A108" s="6"/>
      <c r="B108" s="7" t="str">
        <f t="shared" si="5"/>
        <v/>
      </c>
      <c r="C108" s="8"/>
      <c r="D108" s="9" t="str">
        <f t="shared" si="6"/>
        <v/>
      </c>
      <c r="E108" s="9" t="str">
        <f t="shared" si="7"/>
        <v/>
      </c>
      <c r="F108" s="9" t="str">
        <f t="shared" si="8"/>
        <v/>
      </c>
    </row>
    <row r="109" spans="1:6" x14ac:dyDescent="0.3">
      <c r="A109" s="6"/>
      <c r="B109" s="7" t="str">
        <f t="shared" si="5"/>
        <v/>
      </c>
      <c r="C109" s="8"/>
      <c r="D109" s="9" t="str">
        <f t="shared" si="6"/>
        <v/>
      </c>
      <c r="E109" s="9" t="str">
        <f t="shared" si="7"/>
        <v/>
      </c>
      <c r="F109" s="9" t="str">
        <f t="shared" si="8"/>
        <v/>
      </c>
    </row>
    <row r="110" spans="1:6" x14ac:dyDescent="0.3">
      <c r="A110" s="6"/>
      <c r="B110" s="7" t="str">
        <f t="shared" si="5"/>
        <v/>
      </c>
      <c r="C110" s="8"/>
      <c r="D110" s="9" t="str">
        <f t="shared" si="6"/>
        <v/>
      </c>
      <c r="E110" s="9" t="str">
        <f t="shared" si="7"/>
        <v/>
      </c>
      <c r="F110" s="9" t="str">
        <f t="shared" si="8"/>
        <v/>
      </c>
    </row>
    <row r="111" spans="1:6" x14ac:dyDescent="0.3">
      <c r="A111" s="6"/>
      <c r="B111" s="7" t="str">
        <f t="shared" si="5"/>
        <v/>
      </c>
      <c r="C111" s="8"/>
      <c r="D111" s="9" t="str">
        <f t="shared" si="6"/>
        <v/>
      </c>
      <c r="E111" s="9" t="str">
        <f t="shared" si="7"/>
        <v/>
      </c>
      <c r="F111" s="9" t="str">
        <f t="shared" si="8"/>
        <v/>
      </c>
    </row>
    <row r="112" spans="1:6" x14ac:dyDescent="0.3">
      <c r="A112" s="6"/>
      <c r="B112" s="7" t="str">
        <f t="shared" si="5"/>
        <v/>
      </c>
      <c r="C112" s="8"/>
      <c r="D112" s="9" t="str">
        <f t="shared" si="6"/>
        <v/>
      </c>
      <c r="E112" s="9" t="str">
        <f t="shared" si="7"/>
        <v/>
      </c>
      <c r="F112" s="9" t="str">
        <f t="shared" si="8"/>
        <v/>
      </c>
    </row>
    <row r="113" spans="1:6" x14ac:dyDescent="0.3">
      <c r="A113" s="6"/>
      <c r="B113" s="7" t="str">
        <f t="shared" si="5"/>
        <v/>
      </c>
      <c r="C113" s="8"/>
      <c r="D113" s="9" t="str">
        <f t="shared" si="6"/>
        <v/>
      </c>
      <c r="E113" s="9" t="str">
        <f t="shared" si="7"/>
        <v/>
      </c>
      <c r="F113" s="9" t="str">
        <f t="shared" si="8"/>
        <v/>
      </c>
    </row>
    <row r="114" spans="1:6" x14ac:dyDescent="0.3">
      <c r="A114" s="6"/>
      <c r="B114" s="7" t="str">
        <f t="shared" si="5"/>
        <v/>
      </c>
      <c r="C114" s="8"/>
      <c r="D114" s="9" t="str">
        <f t="shared" si="6"/>
        <v/>
      </c>
      <c r="E114" s="9" t="str">
        <f t="shared" si="7"/>
        <v/>
      </c>
      <c r="F114" s="9" t="str">
        <f t="shared" si="8"/>
        <v/>
      </c>
    </row>
    <row r="115" spans="1:6" x14ac:dyDescent="0.3">
      <c r="A115" s="6"/>
      <c r="B115" s="7" t="str">
        <f t="shared" si="5"/>
        <v/>
      </c>
      <c r="C115" s="8"/>
      <c r="D115" s="9" t="str">
        <f t="shared" si="6"/>
        <v/>
      </c>
      <c r="E115" s="9" t="str">
        <f t="shared" si="7"/>
        <v/>
      </c>
      <c r="F115" s="9" t="str">
        <f t="shared" si="8"/>
        <v/>
      </c>
    </row>
    <row r="116" spans="1:6" x14ac:dyDescent="0.3">
      <c r="A116" s="6"/>
      <c r="B116" s="7" t="str">
        <f t="shared" si="5"/>
        <v/>
      </c>
      <c r="C116" s="8"/>
      <c r="D116" s="9" t="str">
        <f t="shared" si="6"/>
        <v/>
      </c>
      <c r="E116" s="9" t="str">
        <f t="shared" si="7"/>
        <v/>
      </c>
      <c r="F116" s="9" t="str">
        <f t="shared" si="8"/>
        <v/>
      </c>
    </row>
    <row r="117" spans="1:6" x14ac:dyDescent="0.3">
      <c r="A117" s="6"/>
      <c r="B117" s="7" t="str">
        <f t="shared" si="5"/>
        <v/>
      </c>
      <c r="C117" s="8"/>
      <c r="D117" s="9" t="str">
        <f t="shared" si="6"/>
        <v/>
      </c>
      <c r="E117" s="9" t="str">
        <f t="shared" si="7"/>
        <v/>
      </c>
      <c r="F117" s="9" t="str">
        <f t="shared" si="8"/>
        <v/>
      </c>
    </row>
    <row r="118" spans="1:6" x14ac:dyDescent="0.3">
      <c r="A118" s="6"/>
      <c r="B118" s="7" t="str">
        <f t="shared" si="5"/>
        <v/>
      </c>
      <c r="C118" s="8"/>
      <c r="D118" s="9" t="str">
        <f t="shared" si="6"/>
        <v/>
      </c>
      <c r="E118" s="9" t="str">
        <f t="shared" si="7"/>
        <v/>
      </c>
      <c r="F118" s="9" t="str">
        <f t="shared" si="8"/>
        <v/>
      </c>
    </row>
    <row r="119" spans="1:6" x14ac:dyDescent="0.3">
      <c r="A119" s="6"/>
      <c r="B119" s="7" t="str">
        <f t="shared" si="5"/>
        <v/>
      </c>
      <c r="C119" s="8"/>
      <c r="D119" s="9" t="str">
        <f t="shared" si="6"/>
        <v/>
      </c>
      <c r="E119" s="9" t="str">
        <f t="shared" si="7"/>
        <v/>
      </c>
      <c r="F119" s="9" t="str">
        <f t="shared" si="8"/>
        <v/>
      </c>
    </row>
    <row r="120" spans="1:6" x14ac:dyDescent="0.3">
      <c r="A120" s="6"/>
      <c r="B120" s="7" t="str">
        <f t="shared" si="5"/>
        <v/>
      </c>
      <c r="C120" s="8"/>
      <c r="D120" s="9" t="str">
        <f t="shared" si="6"/>
        <v/>
      </c>
      <c r="E120" s="9" t="str">
        <f t="shared" si="7"/>
        <v/>
      </c>
      <c r="F120" s="9" t="str">
        <f t="shared" si="8"/>
        <v/>
      </c>
    </row>
    <row r="121" spans="1:6" x14ac:dyDescent="0.3">
      <c r="A121" s="6"/>
      <c r="B121" s="7" t="str">
        <f t="shared" si="5"/>
        <v/>
      </c>
      <c r="C121" s="8"/>
      <c r="D121" s="9" t="str">
        <f t="shared" si="6"/>
        <v/>
      </c>
      <c r="E121" s="9" t="str">
        <f t="shared" si="7"/>
        <v/>
      </c>
      <c r="F121" s="9" t="str">
        <f t="shared" si="8"/>
        <v/>
      </c>
    </row>
    <row r="122" spans="1:6" x14ac:dyDescent="0.3">
      <c r="A122" s="6"/>
      <c r="B122" s="7" t="str">
        <f t="shared" si="5"/>
        <v/>
      </c>
      <c r="C122" s="8"/>
      <c r="D122" s="9" t="str">
        <f t="shared" si="6"/>
        <v/>
      </c>
      <c r="E122" s="9" t="str">
        <f t="shared" si="7"/>
        <v/>
      </c>
      <c r="F122" s="9" t="str">
        <f t="shared" si="8"/>
        <v/>
      </c>
    </row>
    <row r="123" spans="1:6" x14ac:dyDescent="0.3">
      <c r="A123" s="6"/>
      <c r="B123" s="7" t="str">
        <f t="shared" si="5"/>
        <v/>
      </c>
      <c r="C123" s="8"/>
      <c r="D123" s="9" t="str">
        <f t="shared" si="6"/>
        <v/>
      </c>
      <c r="E123" s="9" t="str">
        <f t="shared" si="7"/>
        <v/>
      </c>
      <c r="F123" s="9" t="str">
        <f t="shared" si="8"/>
        <v/>
      </c>
    </row>
    <row r="124" spans="1:6" x14ac:dyDescent="0.3">
      <c r="A124" s="6"/>
      <c r="B124" s="7" t="str">
        <f t="shared" si="5"/>
        <v/>
      </c>
      <c r="C124" s="8"/>
      <c r="D124" s="9" t="str">
        <f t="shared" si="6"/>
        <v/>
      </c>
      <c r="E124" s="9" t="str">
        <f t="shared" si="7"/>
        <v/>
      </c>
      <c r="F124" s="9" t="str">
        <f t="shared" si="8"/>
        <v/>
      </c>
    </row>
    <row r="125" spans="1:6" x14ac:dyDescent="0.3">
      <c r="A125" s="6"/>
      <c r="B125" s="7" t="str">
        <f t="shared" si="5"/>
        <v/>
      </c>
      <c r="C125" s="8"/>
      <c r="D125" s="9" t="str">
        <f t="shared" si="6"/>
        <v/>
      </c>
      <c r="E125" s="9" t="str">
        <f t="shared" si="7"/>
        <v/>
      </c>
      <c r="F125" s="9" t="str">
        <f t="shared" si="8"/>
        <v/>
      </c>
    </row>
    <row r="126" spans="1:6" x14ac:dyDescent="0.3">
      <c r="A126" s="6"/>
      <c r="B126" s="7" t="str">
        <f t="shared" si="5"/>
        <v/>
      </c>
      <c r="C126" s="8"/>
      <c r="D126" s="9" t="str">
        <f t="shared" si="6"/>
        <v/>
      </c>
      <c r="E126" s="9" t="str">
        <f t="shared" si="7"/>
        <v/>
      </c>
      <c r="F126" s="9" t="str">
        <f t="shared" si="8"/>
        <v/>
      </c>
    </row>
    <row r="127" spans="1:6" x14ac:dyDescent="0.3">
      <c r="A127" s="6"/>
      <c r="B127" s="7" t="str">
        <f t="shared" si="5"/>
        <v/>
      </c>
      <c r="C127" s="8"/>
      <c r="D127" s="9" t="str">
        <f t="shared" si="6"/>
        <v/>
      </c>
      <c r="E127" s="9" t="str">
        <f t="shared" si="7"/>
        <v/>
      </c>
      <c r="F127" s="9" t="str">
        <f t="shared" si="8"/>
        <v/>
      </c>
    </row>
    <row r="128" spans="1:6" x14ac:dyDescent="0.3">
      <c r="A128" s="6"/>
      <c r="B128" s="7" t="str">
        <f t="shared" si="5"/>
        <v/>
      </c>
      <c r="C128" s="8"/>
      <c r="D128" s="9" t="str">
        <f t="shared" si="6"/>
        <v/>
      </c>
      <c r="E128" s="9" t="str">
        <f t="shared" si="7"/>
        <v/>
      </c>
      <c r="F128" s="9" t="str">
        <f t="shared" si="8"/>
        <v/>
      </c>
    </row>
    <row r="129" spans="1:6" x14ac:dyDescent="0.3">
      <c r="A129" s="6"/>
      <c r="B129" s="7" t="str">
        <f t="shared" si="5"/>
        <v/>
      </c>
      <c r="C129" s="8"/>
      <c r="D129" s="9" t="str">
        <f t="shared" si="6"/>
        <v/>
      </c>
      <c r="E129" s="9" t="str">
        <f t="shared" si="7"/>
        <v/>
      </c>
      <c r="F129" s="9" t="str">
        <f t="shared" si="8"/>
        <v/>
      </c>
    </row>
    <row r="130" spans="1:6" x14ac:dyDescent="0.3">
      <c r="A130" s="6"/>
      <c r="B130" s="7" t="str">
        <f t="shared" si="5"/>
        <v/>
      </c>
      <c r="C130" s="8"/>
      <c r="D130" s="9" t="str">
        <f t="shared" si="6"/>
        <v/>
      </c>
      <c r="E130" s="9" t="str">
        <f t="shared" si="7"/>
        <v/>
      </c>
      <c r="F130" s="9" t="str">
        <f t="shared" si="8"/>
        <v/>
      </c>
    </row>
    <row r="131" spans="1:6" x14ac:dyDescent="0.3">
      <c r="A131" s="6"/>
      <c r="B131" s="7" t="str">
        <f t="shared" si="5"/>
        <v/>
      </c>
      <c r="C131" s="8"/>
      <c r="D131" s="9" t="str">
        <f t="shared" si="6"/>
        <v/>
      </c>
      <c r="E131" s="9" t="str">
        <f t="shared" si="7"/>
        <v/>
      </c>
      <c r="F131" s="9" t="str">
        <f t="shared" si="8"/>
        <v/>
      </c>
    </row>
    <row r="132" spans="1:6" x14ac:dyDescent="0.3">
      <c r="A132" s="6"/>
      <c r="B132" s="7" t="str">
        <f t="shared" si="5"/>
        <v/>
      </c>
      <c r="C132" s="8"/>
      <c r="D132" s="9" t="str">
        <f t="shared" si="6"/>
        <v/>
      </c>
      <c r="E132" s="9" t="str">
        <f t="shared" si="7"/>
        <v/>
      </c>
      <c r="F132" s="9" t="str">
        <f t="shared" si="8"/>
        <v/>
      </c>
    </row>
    <row r="133" spans="1:6" x14ac:dyDescent="0.3">
      <c r="A133" s="6"/>
      <c r="B133" s="7" t="str">
        <f t="shared" ref="B133:B196" si="9">IF(A133="","",IF(A134="",A133+5000,A134-1))</f>
        <v/>
      </c>
      <c r="C133" s="8"/>
      <c r="D133" s="9" t="str">
        <f t="shared" si="6"/>
        <v/>
      </c>
      <c r="E133" s="9" t="str">
        <f t="shared" si="7"/>
        <v/>
      </c>
      <c r="F133" s="9" t="str">
        <f t="shared" si="8"/>
        <v/>
      </c>
    </row>
    <row r="134" spans="1:6" x14ac:dyDescent="0.3">
      <c r="A134" s="6"/>
      <c r="B134" s="7" t="str">
        <f t="shared" si="9"/>
        <v/>
      </c>
      <c r="C134" s="8"/>
      <c r="D134" s="9" t="str">
        <f t="shared" si="6"/>
        <v/>
      </c>
      <c r="E134" s="9" t="str">
        <f t="shared" si="7"/>
        <v/>
      </c>
      <c r="F134" s="9" t="str">
        <f t="shared" si="8"/>
        <v/>
      </c>
    </row>
    <row r="135" spans="1:6" x14ac:dyDescent="0.3">
      <c r="A135" s="6"/>
      <c r="B135" s="7" t="str">
        <f t="shared" si="9"/>
        <v/>
      </c>
      <c r="C135" s="8"/>
      <c r="D135" s="9" t="str">
        <f t="shared" si="6"/>
        <v/>
      </c>
      <c r="E135" s="9" t="str">
        <f t="shared" si="7"/>
        <v/>
      </c>
      <c r="F135" s="9" t="str">
        <f t="shared" si="8"/>
        <v/>
      </c>
    </row>
    <row r="136" spans="1:6" x14ac:dyDescent="0.3">
      <c r="A136" s="6"/>
      <c r="B136" s="7" t="str">
        <f t="shared" si="9"/>
        <v/>
      </c>
      <c r="C136" s="8"/>
      <c r="D136" s="9" t="str">
        <f t="shared" si="6"/>
        <v/>
      </c>
      <c r="E136" s="9" t="str">
        <f t="shared" si="7"/>
        <v/>
      </c>
      <c r="F136" s="9" t="str">
        <f t="shared" si="8"/>
        <v/>
      </c>
    </row>
    <row r="137" spans="1:6" x14ac:dyDescent="0.3">
      <c r="A137" s="6"/>
      <c r="B137" s="7" t="str">
        <f t="shared" si="9"/>
        <v/>
      </c>
      <c r="C137" s="8"/>
      <c r="D137" s="9" t="str">
        <f t="shared" ref="D137:D200" si="10">IF(A137="","",C137+$D$1)</f>
        <v/>
      </c>
      <c r="E137" s="9" t="str">
        <f t="shared" ref="E137:E200" si="11">IF(A137="","",C137+$E$1)</f>
        <v/>
      </c>
      <c r="F137" s="9" t="str">
        <f t="shared" ref="F137:F200" si="12">IF(A137="","",C137+$F$1)</f>
        <v/>
      </c>
    </row>
    <row r="138" spans="1:6" x14ac:dyDescent="0.3">
      <c r="A138" s="6"/>
      <c r="B138" s="7" t="str">
        <f t="shared" si="9"/>
        <v/>
      </c>
      <c r="C138" s="8"/>
      <c r="D138" s="9" t="str">
        <f t="shared" si="10"/>
        <v/>
      </c>
      <c r="E138" s="9" t="str">
        <f t="shared" si="11"/>
        <v/>
      </c>
      <c r="F138" s="9" t="str">
        <f t="shared" si="12"/>
        <v/>
      </c>
    </row>
    <row r="139" spans="1:6" x14ac:dyDescent="0.3">
      <c r="A139" s="6"/>
      <c r="B139" s="7" t="str">
        <f t="shared" si="9"/>
        <v/>
      </c>
      <c r="C139" s="8"/>
      <c r="D139" s="9" t="str">
        <f t="shared" si="10"/>
        <v/>
      </c>
      <c r="E139" s="9" t="str">
        <f t="shared" si="11"/>
        <v/>
      </c>
      <c r="F139" s="9" t="str">
        <f t="shared" si="12"/>
        <v/>
      </c>
    </row>
    <row r="140" spans="1:6" x14ac:dyDescent="0.3">
      <c r="A140" s="6"/>
      <c r="B140" s="7" t="str">
        <f t="shared" si="9"/>
        <v/>
      </c>
      <c r="C140" s="8"/>
      <c r="D140" s="9" t="str">
        <f t="shared" si="10"/>
        <v/>
      </c>
      <c r="E140" s="9" t="str">
        <f t="shared" si="11"/>
        <v/>
      </c>
      <c r="F140" s="9" t="str">
        <f t="shared" si="12"/>
        <v/>
      </c>
    </row>
    <row r="141" spans="1:6" x14ac:dyDescent="0.3">
      <c r="A141" s="6"/>
      <c r="B141" s="7" t="str">
        <f t="shared" si="9"/>
        <v/>
      </c>
      <c r="C141" s="8"/>
      <c r="D141" s="9" t="str">
        <f t="shared" si="10"/>
        <v/>
      </c>
      <c r="E141" s="9" t="str">
        <f t="shared" si="11"/>
        <v/>
      </c>
      <c r="F141" s="9" t="str">
        <f t="shared" si="12"/>
        <v/>
      </c>
    </row>
    <row r="142" spans="1:6" x14ac:dyDescent="0.3">
      <c r="A142" s="6"/>
      <c r="B142" s="7" t="str">
        <f t="shared" si="9"/>
        <v/>
      </c>
      <c r="C142" s="8"/>
      <c r="D142" s="9" t="str">
        <f t="shared" si="10"/>
        <v/>
      </c>
      <c r="E142" s="9" t="str">
        <f t="shared" si="11"/>
        <v/>
      </c>
      <c r="F142" s="9" t="str">
        <f t="shared" si="12"/>
        <v/>
      </c>
    </row>
    <row r="143" spans="1:6" x14ac:dyDescent="0.3">
      <c r="A143" s="6"/>
      <c r="B143" s="7" t="str">
        <f t="shared" si="9"/>
        <v/>
      </c>
      <c r="C143" s="8"/>
      <c r="D143" s="9" t="str">
        <f t="shared" si="10"/>
        <v/>
      </c>
      <c r="E143" s="9" t="str">
        <f t="shared" si="11"/>
        <v/>
      </c>
      <c r="F143" s="9" t="str">
        <f t="shared" si="12"/>
        <v/>
      </c>
    </row>
    <row r="144" spans="1:6" x14ac:dyDescent="0.3">
      <c r="A144" s="6"/>
      <c r="B144" s="7" t="str">
        <f t="shared" si="9"/>
        <v/>
      </c>
      <c r="C144" s="8"/>
      <c r="D144" s="9" t="str">
        <f t="shared" si="10"/>
        <v/>
      </c>
      <c r="E144" s="9" t="str">
        <f t="shared" si="11"/>
        <v/>
      </c>
      <c r="F144" s="9" t="str">
        <f t="shared" si="12"/>
        <v/>
      </c>
    </row>
    <row r="145" spans="1:6" x14ac:dyDescent="0.3">
      <c r="A145" s="6"/>
      <c r="B145" s="7" t="str">
        <f t="shared" si="9"/>
        <v/>
      </c>
      <c r="C145" s="8"/>
      <c r="D145" s="9" t="str">
        <f t="shared" si="10"/>
        <v/>
      </c>
      <c r="E145" s="9" t="str">
        <f t="shared" si="11"/>
        <v/>
      </c>
      <c r="F145" s="9" t="str">
        <f t="shared" si="12"/>
        <v/>
      </c>
    </row>
    <row r="146" spans="1:6" x14ac:dyDescent="0.3">
      <c r="A146" s="6"/>
      <c r="B146" s="7" t="str">
        <f t="shared" si="9"/>
        <v/>
      </c>
      <c r="C146" s="8"/>
      <c r="D146" s="9" t="str">
        <f t="shared" si="10"/>
        <v/>
      </c>
      <c r="E146" s="9" t="str">
        <f t="shared" si="11"/>
        <v/>
      </c>
      <c r="F146" s="9" t="str">
        <f t="shared" si="12"/>
        <v/>
      </c>
    </row>
    <row r="147" spans="1:6" x14ac:dyDescent="0.3">
      <c r="A147" s="6"/>
      <c r="B147" s="7" t="str">
        <f t="shared" si="9"/>
        <v/>
      </c>
      <c r="C147" s="8"/>
      <c r="D147" s="9" t="str">
        <f t="shared" si="10"/>
        <v/>
      </c>
      <c r="E147" s="9" t="str">
        <f t="shared" si="11"/>
        <v/>
      </c>
      <c r="F147" s="9" t="str">
        <f t="shared" si="12"/>
        <v/>
      </c>
    </row>
    <row r="148" spans="1:6" x14ac:dyDescent="0.3">
      <c r="A148" s="6"/>
      <c r="B148" s="7" t="str">
        <f t="shared" si="9"/>
        <v/>
      </c>
      <c r="C148" s="8"/>
      <c r="D148" s="9" t="str">
        <f t="shared" si="10"/>
        <v/>
      </c>
      <c r="E148" s="9" t="str">
        <f t="shared" si="11"/>
        <v/>
      </c>
      <c r="F148" s="9" t="str">
        <f t="shared" si="12"/>
        <v/>
      </c>
    </row>
    <row r="149" spans="1:6" x14ac:dyDescent="0.3">
      <c r="A149" s="6"/>
      <c r="B149" s="7" t="str">
        <f t="shared" si="9"/>
        <v/>
      </c>
      <c r="C149" s="8"/>
      <c r="D149" s="9" t="str">
        <f t="shared" si="10"/>
        <v/>
      </c>
      <c r="E149" s="9" t="str">
        <f t="shared" si="11"/>
        <v/>
      </c>
      <c r="F149" s="9" t="str">
        <f t="shared" si="12"/>
        <v/>
      </c>
    </row>
    <row r="150" spans="1:6" x14ac:dyDescent="0.3">
      <c r="A150" s="6"/>
      <c r="B150" s="7" t="str">
        <f t="shared" si="9"/>
        <v/>
      </c>
      <c r="C150" s="8"/>
      <c r="D150" s="9" t="str">
        <f t="shared" si="10"/>
        <v/>
      </c>
      <c r="E150" s="9" t="str">
        <f t="shared" si="11"/>
        <v/>
      </c>
      <c r="F150" s="9" t="str">
        <f t="shared" si="12"/>
        <v/>
      </c>
    </row>
    <row r="151" spans="1:6" x14ac:dyDescent="0.3">
      <c r="A151" s="6"/>
      <c r="B151" s="7" t="str">
        <f t="shared" si="9"/>
        <v/>
      </c>
      <c r="C151" s="8"/>
      <c r="D151" s="9" t="str">
        <f t="shared" si="10"/>
        <v/>
      </c>
      <c r="E151" s="9" t="str">
        <f t="shared" si="11"/>
        <v/>
      </c>
      <c r="F151" s="9" t="str">
        <f t="shared" si="12"/>
        <v/>
      </c>
    </row>
    <row r="152" spans="1:6" x14ac:dyDescent="0.3">
      <c r="A152" s="6"/>
      <c r="B152" s="7" t="str">
        <f t="shared" si="9"/>
        <v/>
      </c>
      <c r="C152" s="8"/>
      <c r="D152" s="9" t="str">
        <f t="shared" si="10"/>
        <v/>
      </c>
      <c r="E152" s="9" t="str">
        <f t="shared" si="11"/>
        <v/>
      </c>
      <c r="F152" s="9" t="str">
        <f t="shared" si="12"/>
        <v/>
      </c>
    </row>
    <row r="153" spans="1:6" x14ac:dyDescent="0.3">
      <c r="A153" s="6"/>
      <c r="B153" s="7" t="str">
        <f t="shared" si="9"/>
        <v/>
      </c>
      <c r="C153" s="8"/>
      <c r="D153" s="9" t="str">
        <f t="shared" si="10"/>
        <v/>
      </c>
      <c r="E153" s="9" t="str">
        <f t="shared" si="11"/>
        <v/>
      </c>
      <c r="F153" s="9" t="str">
        <f t="shared" si="12"/>
        <v/>
      </c>
    </row>
    <row r="154" spans="1:6" x14ac:dyDescent="0.3">
      <c r="A154" s="6"/>
      <c r="B154" s="7" t="str">
        <f t="shared" si="9"/>
        <v/>
      </c>
      <c r="C154" s="8"/>
      <c r="D154" s="9" t="str">
        <f t="shared" si="10"/>
        <v/>
      </c>
      <c r="E154" s="9" t="str">
        <f t="shared" si="11"/>
        <v/>
      </c>
      <c r="F154" s="9" t="str">
        <f t="shared" si="12"/>
        <v/>
      </c>
    </row>
    <row r="155" spans="1:6" x14ac:dyDescent="0.3">
      <c r="A155" s="6"/>
      <c r="B155" s="7" t="str">
        <f t="shared" si="9"/>
        <v/>
      </c>
      <c r="D155" s="9" t="str">
        <f t="shared" si="10"/>
        <v/>
      </c>
      <c r="E155" s="9" t="str">
        <f t="shared" si="11"/>
        <v/>
      </c>
      <c r="F155" s="9" t="str">
        <f t="shared" si="12"/>
        <v/>
      </c>
    </row>
    <row r="156" spans="1:6" x14ac:dyDescent="0.3">
      <c r="A156" s="6"/>
      <c r="B156" s="7" t="str">
        <f t="shared" si="9"/>
        <v/>
      </c>
      <c r="D156" s="9" t="str">
        <f t="shared" si="10"/>
        <v/>
      </c>
      <c r="E156" s="9" t="str">
        <f t="shared" si="11"/>
        <v/>
      </c>
      <c r="F156" s="9" t="str">
        <f t="shared" si="12"/>
        <v/>
      </c>
    </row>
    <row r="157" spans="1:6" x14ac:dyDescent="0.3">
      <c r="A157" s="6"/>
      <c r="B157" s="7" t="str">
        <f t="shared" si="9"/>
        <v/>
      </c>
      <c r="D157" s="9" t="str">
        <f t="shared" si="10"/>
        <v/>
      </c>
      <c r="E157" s="9" t="str">
        <f t="shared" si="11"/>
        <v/>
      </c>
      <c r="F157" s="9" t="str">
        <f t="shared" si="12"/>
        <v/>
      </c>
    </row>
    <row r="158" spans="1:6" x14ac:dyDescent="0.3">
      <c r="A158" s="6"/>
      <c r="B158" s="7" t="str">
        <f t="shared" si="9"/>
        <v/>
      </c>
      <c r="D158" s="9" t="str">
        <f t="shared" si="10"/>
        <v/>
      </c>
      <c r="E158" s="9" t="str">
        <f t="shared" si="11"/>
        <v/>
      </c>
      <c r="F158" s="9" t="str">
        <f t="shared" si="12"/>
        <v/>
      </c>
    </row>
    <row r="159" spans="1:6" x14ac:dyDescent="0.3">
      <c r="A159" s="6"/>
      <c r="B159" s="7" t="str">
        <f t="shared" si="9"/>
        <v/>
      </c>
      <c r="D159" s="9" t="str">
        <f t="shared" si="10"/>
        <v/>
      </c>
      <c r="E159" s="9" t="str">
        <f t="shared" si="11"/>
        <v/>
      </c>
      <c r="F159" s="9" t="str">
        <f t="shared" si="12"/>
        <v/>
      </c>
    </row>
    <row r="160" spans="1:6" x14ac:dyDescent="0.3">
      <c r="A160" s="6"/>
      <c r="B160" s="7" t="str">
        <f t="shared" si="9"/>
        <v/>
      </c>
      <c r="D160" s="9" t="str">
        <f t="shared" si="10"/>
        <v/>
      </c>
      <c r="E160" s="9" t="str">
        <f t="shared" si="11"/>
        <v/>
      </c>
      <c r="F160" s="9" t="str">
        <f t="shared" si="12"/>
        <v/>
      </c>
    </row>
    <row r="161" spans="1:6" x14ac:dyDescent="0.3">
      <c r="A161" s="6"/>
      <c r="B161" s="7" t="str">
        <f t="shared" si="9"/>
        <v/>
      </c>
      <c r="D161" s="9" t="str">
        <f t="shared" si="10"/>
        <v/>
      </c>
      <c r="E161" s="9" t="str">
        <f t="shared" si="11"/>
        <v/>
      </c>
      <c r="F161" s="9" t="str">
        <f t="shared" si="12"/>
        <v/>
      </c>
    </row>
    <row r="162" spans="1:6" x14ac:dyDescent="0.3">
      <c r="A162" s="6"/>
      <c r="B162" s="7" t="str">
        <f t="shared" si="9"/>
        <v/>
      </c>
      <c r="D162" s="9" t="str">
        <f t="shared" si="10"/>
        <v/>
      </c>
      <c r="E162" s="9" t="str">
        <f t="shared" si="11"/>
        <v/>
      </c>
      <c r="F162" s="9" t="str">
        <f t="shared" si="12"/>
        <v/>
      </c>
    </row>
    <row r="163" spans="1:6" x14ac:dyDescent="0.3">
      <c r="A163" s="6"/>
      <c r="B163" s="7" t="str">
        <f t="shared" si="9"/>
        <v/>
      </c>
      <c r="D163" s="9" t="str">
        <f t="shared" si="10"/>
        <v/>
      </c>
      <c r="E163" s="9" t="str">
        <f t="shared" si="11"/>
        <v/>
      </c>
      <c r="F163" s="9" t="str">
        <f t="shared" si="12"/>
        <v/>
      </c>
    </row>
    <row r="164" spans="1:6" x14ac:dyDescent="0.3">
      <c r="A164" s="6"/>
      <c r="B164" s="7" t="str">
        <f t="shared" si="9"/>
        <v/>
      </c>
      <c r="D164" s="9" t="str">
        <f t="shared" si="10"/>
        <v/>
      </c>
      <c r="E164" s="9" t="str">
        <f t="shared" si="11"/>
        <v/>
      </c>
      <c r="F164" s="9" t="str">
        <f t="shared" si="12"/>
        <v/>
      </c>
    </row>
    <row r="165" spans="1:6" x14ac:dyDescent="0.3">
      <c r="A165" s="6"/>
      <c r="B165" s="7" t="str">
        <f t="shared" si="9"/>
        <v/>
      </c>
      <c r="D165" s="9" t="str">
        <f t="shared" si="10"/>
        <v/>
      </c>
      <c r="E165" s="9" t="str">
        <f t="shared" si="11"/>
        <v/>
      </c>
      <c r="F165" s="9" t="str">
        <f t="shared" si="12"/>
        <v/>
      </c>
    </row>
    <row r="166" spans="1:6" x14ac:dyDescent="0.3">
      <c r="A166" s="6"/>
      <c r="B166" s="7" t="str">
        <f t="shared" si="9"/>
        <v/>
      </c>
      <c r="D166" s="9" t="str">
        <f t="shared" si="10"/>
        <v/>
      </c>
      <c r="E166" s="9" t="str">
        <f t="shared" si="11"/>
        <v/>
      </c>
      <c r="F166" s="9" t="str">
        <f t="shared" si="12"/>
        <v/>
      </c>
    </row>
    <row r="167" spans="1:6" x14ac:dyDescent="0.3">
      <c r="A167" s="6"/>
      <c r="B167" s="7" t="str">
        <f t="shared" si="9"/>
        <v/>
      </c>
      <c r="D167" s="9" t="str">
        <f t="shared" si="10"/>
        <v/>
      </c>
      <c r="E167" s="9" t="str">
        <f t="shared" si="11"/>
        <v/>
      </c>
      <c r="F167" s="9" t="str">
        <f t="shared" si="12"/>
        <v/>
      </c>
    </row>
    <row r="168" spans="1:6" x14ac:dyDescent="0.3">
      <c r="A168" s="6"/>
      <c r="B168" s="7" t="str">
        <f t="shared" si="9"/>
        <v/>
      </c>
      <c r="D168" s="9" t="str">
        <f t="shared" si="10"/>
        <v/>
      </c>
      <c r="E168" s="9" t="str">
        <f t="shared" si="11"/>
        <v/>
      </c>
      <c r="F168" s="9" t="str">
        <f t="shared" si="12"/>
        <v/>
      </c>
    </row>
    <row r="169" spans="1:6" x14ac:dyDescent="0.3">
      <c r="A169" s="6"/>
      <c r="B169" s="7" t="str">
        <f t="shared" si="9"/>
        <v/>
      </c>
      <c r="D169" s="9" t="str">
        <f t="shared" si="10"/>
        <v/>
      </c>
      <c r="E169" s="9" t="str">
        <f t="shared" si="11"/>
        <v/>
      </c>
      <c r="F169" s="9" t="str">
        <f t="shared" si="12"/>
        <v/>
      </c>
    </row>
    <row r="170" spans="1:6" x14ac:dyDescent="0.3">
      <c r="A170" s="6"/>
      <c r="B170" s="7" t="str">
        <f t="shared" si="9"/>
        <v/>
      </c>
      <c r="D170" s="9" t="str">
        <f t="shared" si="10"/>
        <v/>
      </c>
      <c r="E170" s="9" t="str">
        <f t="shared" si="11"/>
        <v/>
      </c>
      <c r="F170" s="9" t="str">
        <f t="shared" si="12"/>
        <v/>
      </c>
    </row>
    <row r="171" spans="1:6" x14ac:dyDescent="0.3">
      <c r="A171" s="6"/>
      <c r="B171" s="7" t="str">
        <f t="shared" si="9"/>
        <v/>
      </c>
      <c r="D171" s="9" t="str">
        <f t="shared" si="10"/>
        <v/>
      </c>
      <c r="E171" s="9" t="str">
        <f t="shared" si="11"/>
        <v/>
      </c>
      <c r="F171" s="9" t="str">
        <f t="shared" si="12"/>
        <v/>
      </c>
    </row>
    <row r="172" spans="1:6" x14ac:dyDescent="0.3">
      <c r="A172" s="6"/>
      <c r="B172" s="7" t="str">
        <f t="shared" si="9"/>
        <v/>
      </c>
      <c r="D172" s="9" t="str">
        <f t="shared" si="10"/>
        <v/>
      </c>
      <c r="E172" s="9" t="str">
        <f t="shared" si="11"/>
        <v/>
      </c>
      <c r="F172" s="9" t="str">
        <f t="shared" si="12"/>
        <v/>
      </c>
    </row>
    <row r="173" spans="1:6" x14ac:dyDescent="0.3">
      <c r="A173" s="6"/>
      <c r="B173" s="7" t="str">
        <f t="shared" si="9"/>
        <v/>
      </c>
      <c r="D173" s="9" t="str">
        <f t="shared" si="10"/>
        <v/>
      </c>
      <c r="E173" s="9" t="str">
        <f t="shared" si="11"/>
        <v/>
      </c>
      <c r="F173" s="9" t="str">
        <f t="shared" si="12"/>
        <v/>
      </c>
    </row>
    <row r="174" spans="1:6" x14ac:dyDescent="0.3">
      <c r="A174" s="6"/>
      <c r="B174" s="7" t="str">
        <f t="shared" si="9"/>
        <v/>
      </c>
      <c r="D174" s="9" t="str">
        <f t="shared" si="10"/>
        <v/>
      </c>
      <c r="E174" s="9" t="str">
        <f t="shared" si="11"/>
        <v/>
      </c>
      <c r="F174" s="9" t="str">
        <f t="shared" si="12"/>
        <v/>
      </c>
    </row>
    <row r="175" spans="1:6" x14ac:dyDescent="0.3">
      <c r="A175" s="6"/>
      <c r="B175" s="7" t="str">
        <f t="shared" si="9"/>
        <v/>
      </c>
      <c r="D175" s="9" t="str">
        <f t="shared" si="10"/>
        <v/>
      </c>
      <c r="E175" s="9" t="str">
        <f t="shared" si="11"/>
        <v/>
      </c>
      <c r="F175" s="9" t="str">
        <f t="shared" si="12"/>
        <v/>
      </c>
    </row>
    <row r="176" spans="1:6" x14ac:dyDescent="0.3">
      <c r="A176" s="6"/>
      <c r="B176" s="7" t="str">
        <f t="shared" si="9"/>
        <v/>
      </c>
      <c r="D176" s="9" t="str">
        <f t="shared" si="10"/>
        <v/>
      </c>
      <c r="E176" s="9" t="str">
        <f t="shared" si="11"/>
        <v/>
      </c>
      <c r="F176" s="9" t="str">
        <f t="shared" si="12"/>
        <v/>
      </c>
    </row>
    <row r="177" spans="1:6" x14ac:dyDescent="0.3">
      <c r="A177" s="6"/>
      <c r="B177" s="7" t="str">
        <f t="shared" si="9"/>
        <v/>
      </c>
      <c r="D177" s="9" t="str">
        <f t="shared" si="10"/>
        <v/>
      </c>
      <c r="E177" s="9" t="str">
        <f t="shared" si="11"/>
        <v/>
      </c>
      <c r="F177" s="9" t="str">
        <f t="shared" si="12"/>
        <v/>
      </c>
    </row>
    <row r="178" spans="1:6" x14ac:dyDescent="0.3">
      <c r="A178" s="6"/>
      <c r="B178" s="7" t="str">
        <f t="shared" si="9"/>
        <v/>
      </c>
      <c r="D178" s="9" t="str">
        <f t="shared" si="10"/>
        <v/>
      </c>
      <c r="E178" s="9" t="str">
        <f t="shared" si="11"/>
        <v/>
      </c>
      <c r="F178" s="9" t="str">
        <f t="shared" si="12"/>
        <v/>
      </c>
    </row>
    <row r="179" spans="1:6" x14ac:dyDescent="0.3">
      <c r="A179" s="6"/>
      <c r="B179" s="7" t="str">
        <f t="shared" si="9"/>
        <v/>
      </c>
      <c r="D179" s="9" t="str">
        <f t="shared" si="10"/>
        <v/>
      </c>
      <c r="E179" s="9" t="str">
        <f t="shared" si="11"/>
        <v/>
      </c>
      <c r="F179" s="9" t="str">
        <f t="shared" si="12"/>
        <v/>
      </c>
    </row>
    <row r="180" spans="1:6" x14ac:dyDescent="0.3">
      <c r="A180" s="6"/>
      <c r="B180" s="7" t="str">
        <f t="shared" si="9"/>
        <v/>
      </c>
      <c r="D180" s="9" t="str">
        <f t="shared" si="10"/>
        <v/>
      </c>
      <c r="E180" s="9" t="str">
        <f t="shared" si="11"/>
        <v/>
      </c>
      <c r="F180" s="9" t="str">
        <f t="shared" si="12"/>
        <v/>
      </c>
    </row>
    <row r="181" spans="1:6" x14ac:dyDescent="0.3">
      <c r="A181" s="6"/>
      <c r="B181" s="7" t="str">
        <f t="shared" si="9"/>
        <v/>
      </c>
      <c r="D181" s="9" t="str">
        <f t="shared" si="10"/>
        <v/>
      </c>
      <c r="E181" s="9" t="str">
        <f t="shared" si="11"/>
        <v/>
      </c>
      <c r="F181" s="9" t="str">
        <f t="shared" si="12"/>
        <v/>
      </c>
    </row>
    <row r="182" spans="1:6" x14ac:dyDescent="0.3">
      <c r="A182" s="6"/>
      <c r="B182" s="7" t="str">
        <f t="shared" si="9"/>
        <v/>
      </c>
      <c r="D182" s="9" t="str">
        <f t="shared" si="10"/>
        <v/>
      </c>
      <c r="E182" s="9" t="str">
        <f t="shared" si="11"/>
        <v/>
      </c>
      <c r="F182" s="9" t="str">
        <f t="shared" si="12"/>
        <v/>
      </c>
    </row>
    <row r="183" spans="1:6" x14ac:dyDescent="0.3">
      <c r="A183" s="6"/>
      <c r="B183" s="7" t="str">
        <f t="shared" si="9"/>
        <v/>
      </c>
      <c r="D183" s="9" t="str">
        <f t="shared" si="10"/>
        <v/>
      </c>
      <c r="E183" s="9" t="str">
        <f t="shared" si="11"/>
        <v/>
      </c>
      <c r="F183" s="9" t="str">
        <f t="shared" si="12"/>
        <v/>
      </c>
    </row>
    <row r="184" spans="1:6" x14ac:dyDescent="0.3">
      <c r="A184" s="6"/>
      <c r="B184" s="7" t="str">
        <f t="shared" si="9"/>
        <v/>
      </c>
      <c r="D184" s="9" t="str">
        <f t="shared" si="10"/>
        <v/>
      </c>
      <c r="E184" s="9" t="str">
        <f t="shared" si="11"/>
        <v/>
      </c>
      <c r="F184" s="9" t="str">
        <f t="shared" si="12"/>
        <v/>
      </c>
    </row>
    <row r="185" spans="1:6" x14ac:dyDescent="0.3">
      <c r="A185" s="6"/>
      <c r="B185" s="7" t="str">
        <f t="shared" si="9"/>
        <v/>
      </c>
      <c r="D185" s="9" t="str">
        <f t="shared" si="10"/>
        <v/>
      </c>
      <c r="E185" s="9" t="str">
        <f t="shared" si="11"/>
        <v/>
      </c>
      <c r="F185" s="9" t="str">
        <f t="shared" si="12"/>
        <v/>
      </c>
    </row>
    <row r="186" spans="1:6" x14ac:dyDescent="0.3">
      <c r="A186" s="6"/>
      <c r="B186" s="7" t="str">
        <f t="shared" si="9"/>
        <v/>
      </c>
      <c r="D186" s="9" t="str">
        <f t="shared" si="10"/>
        <v/>
      </c>
      <c r="E186" s="9" t="str">
        <f t="shared" si="11"/>
        <v/>
      </c>
      <c r="F186" s="9" t="str">
        <f t="shared" si="12"/>
        <v/>
      </c>
    </row>
    <row r="187" spans="1:6" x14ac:dyDescent="0.3">
      <c r="A187" s="6"/>
      <c r="B187" s="7" t="str">
        <f t="shared" si="9"/>
        <v/>
      </c>
      <c r="D187" s="9" t="str">
        <f t="shared" si="10"/>
        <v/>
      </c>
      <c r="E187" s="9" t="str">
        <f t="shared" si="11"/>
        <v/>
      </c>
      <c r="F187" s="9" t="str">
        <f t="shared" si="12"/>
        <v/>
      </c>
    </row>
    <row r="188" spans="1:6" x14ac:dyDescent="0.3">
      <c r="A188" s="6"/>
      <c r="B188" s="7" t="str">
        <f t="shared" si="9"/>
        <v/>
      </c>
      <c r="D188" s="9" t="str">
        <f t="shared" si="10"/>
        <v/>
      </c>
      <c r="E188" s="9" t="str">
        <f t="shared" si="11"/>
        <v/>
      </c>
      <c r="F188" s="9" t="str">
        <f t="shared" si="12"/>
        <v/>
      </c>
    </row>
    <row r="189" spans="1:6" x14ac:dyDescent="0.3">
      <c r="A189" s="6"/>
      <c r="B189" s="7" t="str">
        <f t="shared" si="9"/>
        <v/>
      </c>
      <c r="D189" s="9" t="str">
        <f t="shared" si="10"/>
        <v/>
      </c>
      <c r="E189" s="9" t="str">
        <f t="shared" si="11"/>
        <v/>
      </c>
      <c r="F189" s="9" t="str">
        <f t="shared" si="12"/>
        <v/>
      </c>
    </row>
    <row r="190" spans="1:6" x14ac:dyDescent="0.3">
      <c r="A190" s="6"/>
      <c r="B190" s="7" t="str">
        <f t="shared" si="9"/>
        <v/>
      </c>
      <c r="D190" s="9" t="str">
        <f t="shared" si="10"/>
        <v/>
      </c>
      <c r="E190" s="9" t="str">
        <f t="shared" si="11"/>
        <v/>
      </c>
      <c r="F190" s="9" t="str">
        <f t="shared" si="12"/>
        <v/>
      </c>
    </row>
    <row r="191" spans="1:6" x14ac:dyDescent="0.3">
      <c r="A191" s="6"/>
      <c r="B191" s="7" t="str">
        <f t="shared" si="9"/>
        <v/>
      </c>
      <c r="D191" s="9" t="str">
        <f t="shared" si="10"/>
        <v/>
      </c>
      <c r="E191" s="9" t="str">
        <f t="shared" si="11"/>
        <v/>
      </c>
      <c r="F191" s="9" t="str">
        <f t="shared" si="12"/>
        <v/>
      </c>
    </row>
    <row r="192" spans="1:6" x14ac:dyDescent="0.3">
      <c r="A192" s="6"/>
      <c r="B192" s="7" t="str">
        <f t="shared" si="9"/>
        <v/>
      </c>
      <c r="D192" s="9" t="str">
        <f t="shared" si="10"/>
        <v/>
      </c>
      <c r="E192" s="9" t="str">
        <f t="shared" si="11"/>
        <v/>
      </c>
      <c r="F192" s="9" t="str">
        <f t="shared" si="12"/>
        <v/>
      </c>
    </row>
    <row r="193" spans="1:6" x14ac:dyDescent="0.3">
      <c r="A193" s="6"/>
      <c r="B193" s="7" t="str">
        <f t="shared" si="9"/>
        <v/>
      </c>
      <c r="D193" s="9" t="str">
        <f t="shared" si="10"/>
        <v/>
      </c>
      <c r="E193" s="9" t="str">
        <f t="shared" si="11"/>
        <v/>
      </c>
      <c r="F193" s="9" t="str">
        <f t="shared" si="12"/>
        <v/>
      </c>
    </row>
    <row r="194" spans="1:6" x14ac:dyDescent="0.3">
      <c r="A194" s="6"/>
      <c r="B194" s="7" t="str">
        <f t="shared" si="9"/>
        <v/>
      </c>
      <c r="D194" s="9" t="str">
        <f t="shared" si="10"/>
        <v/>
      </c>
      <c r="E194" s="9" t="str">
        <f t="shared" si="11"/>
        <v/>
      </c>
      <c r="F194" s="9" t="str">
        <f t="shared" si="12"/>
        <v/>
      </c>
    </row>
    <row r="195" spans="1:6" x14ac:dyDescent="0.3">
      <c r="A195" s="6"/>
      <c r="B195" s="7" t="str">
        <f t="shared" si="9"/>
        <v/>
      </c>
      <c r="D195" s="9" t="str">
        <f t="shared" si="10"/>
        <v/>
      </c>
      <c r="E195" s="9" t="str">
        <f t="shared" si="11"/>
        <v/>
      </c>
      <c r="F195" s="9" t="str">
        <f t="shared" si="12"/>
        <v/>
      </c>
    </row>
    <row r="196" spans="1:6" x14ac:dyDescent="0.3">
      <c r="A196" s="6"/>
      <c r="B196" s="7" t="str">
        <f t="shared" si="9"/>
        <v/>
      </c>
      <c r="D196" s="9" t="str">
        <f t="shared" si="10"/>
        <v/>
      </c>
      <c r="E196" s="9" t="str">
        <f t="shared" si="11"/>
        <v/>
      </c>
      <c r="F196" s="9" t="str">
        <f t="shared" si="12"/>
        <v/>
      </c>
    </row>
    <row r="197" spans="1:6" x14ac:dyDescent="0.3">
      <c r="A197" s="6"/>
      <c r="B197" s="7" t="str">
        <f t="shared" ref="B197:B260" si="13">IF(A197="","",IF(A198="",A197+5000,A198-1))</f>
        <v/>
      </c>
      <c r="D197" s="9" t="str">
        <f t="shared" si="10"/>
        <v/>
      </c>
      <c r="E197" s="9" t="str">
        <f t="shared" si="11"/>
        <v/>
      </c>
      <c r="F197" s="9" t="str">
        <f t="shared" si="12"/>
        <v/>
      </c>
    </row>
    <row r="198" spans="1:6" x14ac:dyDescent="0.3">
      <c r="A198" s="6"/>
      <c r="B198" s="7" t="str">
        <f t="shared" si="13"/>
        <v/>
      </c>
      <c r="D198" s="9" t="str">
        <f t="shared" si="10"/>
        <v/>
      </c>
      <c r="E198" s="9" t="str">
        <f t="shared" si="11"/>
        <v/>
      </c>
      <c r="F198" s="9" t="str">
        <f t="shared" si="12"/>
        <v/>
      </c>
    </row>
    <row r="199" spans="1:6" x14ac:dyDescent="0.3">
      <c r="A199" s="6"/>
      <c r="B199" s="7" t="str">
        <f t="shared" si="13"/>
        <v/>
      </c>
      <c r="D199" s="9" t="str">
        <f t="shared" si="10"/>
        <v/>
      </c>
      <c r="E199" s="9" t="str">
        <f t="shared" si="11"/>
        <v/>
      </c>
      <c r="F199" s="9" t="str">
        <f t="shared" si="12"/>
        <v/>
      </c>
    </row>
    <row r="200" spans="1:6" x14ac:dyDescent="0.3">
      <c r="A200" s="6"/>
      <c r="B200" s="7" t="str">
        <f t="shared" si="13"/>
        <v/>
      </c>
      <c r="D200" s="9" t="str">
        <f t="shared" si="10"/>
        <v/>
      </c>
      <c r="E200" s="9" t="str">
        <f t="shared" si="11"/>
        <v/>
      </c>
      <c r="F200" s="9" t="str">
        <f t="shared" si="12"/>
        <v/>
      </c>
    </row>
    <row r="201" spans="1:6" x14ac:dyDescent="0.3">
      <c r="A201" s="6"/>
      <c r="B201" s="7" t="str">
        <f t="shared" si="13"/>
        <v/>
      </c>
      <c r="D201" s="9" t="str">
        <f t="shared" ref="D201" si="14">IF(A201="","",C201+$D$1)</f>
        <v/>
      </c>
      <c r="E201" s="9" t="str">
        <f t="shared" ref="E201:E264" si="15">IF(A201="","",C201+$E$1)</f>
        <v/>
      </c>
      <c r="F201" s="9" t="str">
        <f t="shared" ref="F201:F264" si="16">IF(A201="","",C201+$F$1)</f>
        <v/>
      </c>
    </row>
    <row r="202" spans="1:6" x14ac:dyDescent="0.3">
      <c r="A202" s="6"/>
      <c r="B202" s="7" t="str">
        <f t="shared" si="13"/>
        <v/>
      </c>
      <c r="D202" s="9"/>
      <c r="E202" s="9" t="str">
        <f t="shared" si="15"/>
        <v/>
      </c>
      <c r="F202" s="9" t="str">
        <f t="shared" si="16"/>
        <v/>
      </c>
    </row>
    <row r="203" spans="1:6" x14ac:dyDescent="0.3">
      <c r="A203" s="6"/>
      <c r="B203" s="7" t="str">
        <f t="shared" si="13"/>
        <v/>
      </c>
      <c r="D203" s="9"/>
      <c r="E203" s="9" t="str">
        <f t="shared" si="15"/>
        <v/>
      </c>
      <c r="F203" s="9" t="str">
        <f t="shared" si="16"/>
        <v/>
      </c>
    </row>
    <row r="204" spans="1:6" x14ac:dyDescent="0.3">
      <c r="A204" s="6"/>
      <c r="B204" s="7" t="str">
        <f t="shared" si="13"/>
        <v/>
      </c>
      <c r="E204" s="9" t="str">
        <f t="shared" si="15"/>
        <v/>
      </c>
      <c r="F204" s="9" t="str">
        <f t="shared" si="16"/>
        <v/>
      </c>
    </row>
    <row r="205" spans="1:6" x14ac:dyDescent="0.3">
      <c r="A205" s="6"/>
      <c r="B205" s="7" t="str">
        <f t="shared" si="13"/>
        <v/>
      </c>
      <c r="E205" s="9" t="str">
        <f t="shared" si="15"/>
        <v/>
      </c>
      <c r="F205" s="9" t="str">
        <f t="shared" si="16"/>
        <v/>
      </c>
    </row>
    <row r="206" spans="1:6" x14ac:dyDescent="0.3">
      <c r="A206" s="6"/>
      <c r="B206" s="7" t="str">
        <f t="shared" si="13"/>
        <v/>
      </c>
      <c r="E206" s="9" t="str">
        <f t="shared" si="15"/>
        <v/>
      </c>
      <c r="F206" s="9" t="str">
        <f t="shared" si="16"/>
        <v/>
      </c>
    </row>
    <row r="207" spans="1:6" x14ac:dyDescent="0.3">
      <c r="A207" s="6"/>
      <c r="B207" s="7" t="str">
        <f t="shared" si="13"/>
        <v/>
      </c>
      <c r="E207" s="9" t="str">
        <f t="shared" si="15"/>
        <v/>
      </c>
      <c r="F207" s="9" t="str">
        <f t="shared" si="16"/>
        <v/>
      </c>
    </row>
    <row r="208" spans="1:6" x14ac:dyDescent="0.3">
      <c r="A208" s="6"/>
      <c r="B208" s="7" t="str">
        <f t="shared" si="13"/>
        <v/>
      </c>
      <c r="E208" s="9" t="str">
        <f t="shared" si="15"/>
        <v/>
      </c>
      <c r="F208" s="9" t="str">
        <f t="shared" si="16"/>
        <v/>
      </c>
    </row>
    <row r="209" spans="1:6" x14ac:dyDescent="0.3">
      <c r="A209" s="6"/>
      <c r="B209" s="7" t="str">
        <f t="shared" si="13"/>
        <v/>
      </c>
      <c r="E209" s="9" t="str">
        <f t="shared" si="15"/>
        <v/>
      </c>
      <c r="F209" s="9" t="str">
        <f t="shared" si="16"/>
        <v/>
      </c>
    </row>
    <row r="210" spans="1:6" x14ac:dyDescent="0.3">
      <c r="A210" s="6"/>
      <c r="B210" s="7" t="str">
        <f t="shared" si="13"/>
        <v/>
      </c>
      <c r="E210" s="9" t="str">
        <f t="shared" si="15"/>
        <v/>
      </c>
      <c r="F210" s="9" t="str">
        <f t="shared" si="16"/>
        <v/>
      </c>
    </row>
    <row r="211" spans="1:6" x14ac:dyDescent="0.3">
      <c r="A211" s="6"/>
      <c r="B211" s="7" t="str">
        <f t="shared" si="13"/>
        <v/>
      </c>
      <c r="E211" s="9" t="str">
        <f t="shared" si="15"/>
        <v/>
      </c>
      <c r="F211" s="9" t="str">
        <f t="shared" si="16"/>
        <v/>
      </c>
    </row>
    <row r="212" spans="1:6" x14ac:dyDescent="0.3">
      <c r="A212" s="6"/>
      <c r="B212" s="7" t="str">
        <f t="shared" si="13"/>
        <v/>
      </c>
      <c r="E212" s="9" t="str">
        <f t="shared" si="15"/>
        <v/>
      </c>
      <c r="F212" s="9" t="str">
        <f t="shared" si="16"/>
        <v/>
      </c>
    </row>
    <row r="213" spans="1:6" x14ac:dyDescent="0.3">
      <c r="A213" s="6"/>
      <c r="B213" s="7" t="str">
        <f t="shared" si="13"/>
        <v/>
      </c>
      <c r="E213" s="9" t="str">
        <f t="shared" si="15"/>
        <v/>
      </c>
      <c r="F213" s="9" t="str">
        <f t="shared" si="16"/>
        <v/>
      </c>
    </row>
    <row r="214" spans="1:6" x14ac:dyDescent="0.3">
      <c r="A214" s="6"/>
      <c r="B214" s="7" t="str">
        <f t="shared" si="13"/>
        <v/>
      </c>
      <c r="E214" s="9" t="str">
        <f t="shared" si="15"/>
        <v/>
      </c>
      <c r="F214" s="9" t="str">
        <f t="shared" si="16"/>
        <v/>
      </c>
    </row>
    <row r="215" spans="1:6" x14ac:dyDescent="0.3">
      <c r="A215" s="6"/>
      <c r="B215" s="7" t="str">
        <f t="shared" si="13"/>
        <v/>
      </c>
      <c r="E215" s="9" t="str">
        <f t="shared" si="15"/>
        <v/>
      </c>
      <c r="F215" s="9" t="str">
        <f t="shared" si="16"/>
        <v/>
      </c>
    </row>
    <row r="216" spans="1:6" x14ac:dyDescent="0.3">
      <c r="A216" s="6"/>
      <c r="B216" s="7" t="str">
        <f t="shared" si="13"/>
        <v/>
      </c>
      <c r="E216" s="9" t="str">
        <f t="shared" si="15"/>
        <v/>
      </c>
      <c r="F216" s="9" t="str">
        <f t="shared" si="16"/>
        <v/>
      </c>
    </row>
    <row r="217" spans="1:6" x14ac:dyDescent="0.3">
      <c r="A217" s="6"/>
      <c r="B217" s="7" t="str">
        <f t="shared" si="13"/>
        <v/>
      </c>
      <c r="E217" s="9" t="str">
        <f t="shared" si="15"/>
        <v/>
      </c>
      <c r="F217" s="9" t="str">
        <f t="shared" si="16"/>
        <v/>
      </c>
    </row>
    <row r="218" spans="1:6" x14ac:dyDescent="0.3">
      <c r="A218" s="6"/>
      <c r="B218" s="7" t="str">
        <f t="shared" si="13"/>
        <v/>
      </c>
      <c r="E218" s="9" t="str">
        <f t="shared" si="15"/>
        <v/>
      </c>
      <c r="F218" s="9" t="str">
        <f t="shared" si="16"/>
        <v/>
      </c>
    </row>
    <row r="219" spans="1:6" x14ac:dyDescent="0.3">
      <c r="A219" s="6"/>
      <c r="B219" s="7" t="str">
        <f t="shared" si="13"/>
        <v/>
      </c>
      <c r="E219" s="9" t="str">
        <f t="shared" si="15"/>
        <v/>
      </c>
      <c r="F219" s="9" t="str">
        <f t="shared" si="16"/>
        <v/>
      </c>
    </row>
    <row r="220" spans="1:6" x14ac:dyDescent="0.3">
      <c r="A220" s="6"/>
      <c r="B220" s="7" t="str">
        <f t="shared" si="13"/>
        <v/>
      </c>
      <c r="E220" s="9" t="str">
        <f t="shared" si="15"/>
        <v/>
      </c>
      <c r="F220" s="9" t="str">
        <f t="shared" si="16"/>
        <v/>
      </c>
    </row>
    <row r="221" spans="1:6" x14ac:dyDescent="0.3">
      <c r="A221" s="6"/>
      <c r="B221" s="7" t="str">
        <f t="shared" si="13"/>
        <v/>
      </c>
      <c r="E221" s="9" t="str">
        <f t="shared" si="15"/>
        <v/>
      </c>
      <c r="F221" s="9" t="str">
        <f t="shared" si="16"/>
        <v/>
      </c>
    </row>
    <row r="222" spans="1:6" x14ac:dyDescent="0.3">
      <c r="A222" s="6"/>
      <c r="B222" s="7" t="str">
        <f t="shared" si="13"/>
        <v/>
      </c>
      <c r="E222" s="9" t="str">
        <f t="shared" si="15"/>
        <v/>
      </c>
      <c r="F222" s="9" t="str">
        <f t="shared" si="16"/>
        <v/>
      </c>
    </row>
    <row r="223" spans="1:6" x14ac:dyDescent="0.3">
      <c r="A223" s="6"/>
      <c r="B223" s="7" t="str">
        <f t="shared" si="13"/>
        <v/>
      </c>
      <c r="E223" s="9" t="str">
        <f t="shared" si="15"/>
        <v/>
      </c>
      <c r="F223" s="9" t="str">
        <f t="shared" si="16"/>
        <v/>
      </c>
    </row>
    <row r="224" spans="1:6" x14ac:dyDescent="0.3">
      <c r="A224" s="6"/>
      <c r="B224" s="7" t="str">
        <f t="shared" si="13"/>
        <v/>
      </c>
      <c r="E224" s="9" t="str">
        <f t="shared" si="15"/>
        <v/>
      </c>
      <c r="F224" s="9" t="str">
        <f t="shared" si="16"/>
        <v/>
      </c>
    </row>
    <row r="225" spans="1:6" x14ac:dyDescent="0.3">
      <c r="A225" s="6"/>
      <c r="B225" s="7" t="str">
        <f t="shared" si="13"/>
        <v/>
      </c>
      <c r="E225" s="9" t="str">
        <f t="shared" si="15"/>
        <v/>
      </c>
      <c r="F225" s="9" t="str">
        <f t="shared" si="16"/>
        <v/>
      </c>
    </row>
    <row r="226" spans="1:6" x14ac:dyDescent="0.3">
      <c r="A226" s="6"/>
      <c r="B226" s="7" t="str">
        <f t="shared" si="13"/>
        <v/>
      </c>
      <c r="E226" s="9" t="str">
        <f t="shared" si="15"/>
        <v/>
      </c>
      <c r="F226" s="9" t="str">
        <f t="shared" si="16"/>
        <v/>
      </c>
    </row>
    <row r="227" spans="1:6" x14ac:dyDescent="0.3">
      <c r="A227" s="6"/>
      <c r="B227" s="7" t="str">
        <f t="shared" si="13"/>
        <v/>
      </c>
      <c r="E227" s="9" t="str">
        <f t="shared" si="15"/>
        <v/>
      </c>
      <c r="F227" s="9" t="str">
        <f t="shared" si="16"/>
        <v/>
      </c>
    </row>
    <row r="228" spans="1:6" x14ac:dyDescent="0.3">
      <c r="A228" s="6"/>
      <c r="B228" s="7" t="str">
        <f t="shared" si="13"/>
        <v/>
      </c>
      <c r="E228" s="9" t="str">
        <f t="shared" si="15"/>
        <v/>
      </c>
      <c r="F228" s="9" t="str">
        <f t="shared" si="16"/>
        <v/>
      </c>
    </row>
    <row r="229" spans="1:6" x14ac:dyDescent="0.3">
      <c r="A229" s="6"/>
      <c r="B229" s="7" t="str">
        <f t="shared" si="13"/>
        <v/>
      </c>
      <c r="E229" s="9" t="str">
        <f t="shared" si="15"/>
        <v/>
      </c>
      <c r="F229" s="9" t="str">
        <f t="shared" si="16"/>
        <v/>
      </c>
    </row>
    <row r="230" spans="1:6" x14ac:dyDescent="0.3">
      <c r="A230" s="6"/>
      <c r="B230" s="7" t="str">
        <f t="shared" si="13"/>
        <v/>
      </c>
      <c r="E230" s="9" t="str">
        <f t="shared" si="15"/>
        <v/>
      </c>
      <c r="F230" s="9" t="str">
        <f t="shared" si="16"/>
        <v/>
      </c>
    </row>
    <row r="231" spans="1:6" x14ac:dyDescent="0.3">
      <c r="A231" s="6"/>
      <c r="B231" s="7" t="str">
        <f t="shared" si="13"/>
        <v/>
      </c>
      <c r="E231" s="9" t="str">
        <f t="shared" si="15"/>
        <v/>
      </c>
      <c r="F231" s="9" t="str">
        <f t="shared" si="16"/>
        <v/>
      </c>
    </row>
    <row r="232" spans="1:6" x14ac:dyDescent="0.3">
      <c r="A232" s="6"/>
      <c r="B232" s="7" t="str">
        <f t="shared" si="13"/>
        <v/>
      </c>
      <c r="E232" s="9" t="str">
        <f t="shared" si="15"/>
        <v/>
      </c>
      <c r="F232" s="9" t="str">
        <f t="shared" si="16"/>
        <v/>
      </c>
    </row>
    <row r="233" spans="1:6" x14ac:dyDescent="0.3">
      <c r="A233" s="6"/>
      <c r="B233" s="7" t="str">
        <f t="shared" si="13"/>
        <v/>
      </c>
      <c r="E233" s="9" t="str">
        <f t="shared" si="15"/>
        <v/>
      </c>
      <c r="F233" s="9" t="str">
        <f t="shared" si="16"/>
        <v/>
      </c>
    </row>
    <row r="234" spans="1:6" x14ac:dyDescent="0.3">
      <c r="A234" s="6"/>
      <c r="B234" s="7" t="str">
        <f t="shared" si="13"/>
        <v/>
      </c>
      <c r="E234" s="9" t="str">
        <f t="shared" si="15"/>
        <v/>
      </c>
      <c r="F234" s="9" t="str">
        <f t="shared" si="16"/>
        <v/>
      </c>
    </row>
    <row r="235" spans="1:6" x14ac:dyDescent="0.3">
      <c r="A235" s="6"/>
      <c r="B235" s="7" t="str">
        <f t="shared" si="13"/>
        <v/>
      </c>
      <c r="E235" s="9" t="str">
        <f t="shared" si="15"/>
        <v/>
      </c>
      <c r="F235" s="9" t="str">
        <f t="shared" si="16"/>
        <v/>
      </c>
    </row>
    <row r="236" spans="1:6" x14ac:dyDescent="0.3">
      <c r="A236" s="6"/>
      <c r="B236" s="7" t="str">
        <f t="shared" si="13"/>
        <v/>
      </c>
      <c r="E236" s="9" t="str">
        <f t="shared" si="15"/>
        <v/>
      </c>
      <c r="F236" s="9" t="str">
        <f t="shared" si="16"/>
        <v/>
      </c>
    </row>
    <row r="237" spans="1:6" x14ac:dyDescent="0.3">
      <c r="A237" s="6"/>
      <c r="B237" s="7" t="str">
        <f t="shared" si="13"/>
        <v/>
      </c>
      <c r="E237" s="9" t="str">
        <f t="shared" si="15"/>
        <v/>
      </c>
      <c r="F237" s="9" t="str">
        <f t="shared" si="16"/>
        <v/>
      </c>
    </row>
    <row r="238" spans="1:6" x14ac:dyDescent="0.3">
      <c r="A238" s="6"/>
      <c r="B238" s="7" t="str">
        <f t="shared" si="13"/>
        <v/>
      </c>
      <c r="E238" s="9" t="str">
        <f t="shared" si="15"/>
        <v/>
      </c>
      <c r="F238" s="9" t="str">
        <f t="shared" si="16"/>
        <v/>
      </c>
    </row>
    <row r="239" spans="1:6" x14ac:dyDescent="0.3">
      <c r="A239" s="6"/>
      <c r="B239" s="7" t="str">
        <f t="shared" si="13"/>
        <v/>
      </c>
      <c r="E239" s="9" t="str">
        <f t="shared" si="15"/>
        <v/>
      </c>
      <c r="F239" s="9" t="str">
        <f t="shared" si="16"/>
        <v/>
      </c>
    </row>
    <row r="240" spans="1:6" x14ac:dyDescent="0.3">
      <c r="A240" s="6"/>
      <c r="B240" s="7" t="str">
        <f t="shared" si="13"/>
        <v/>
      </c>
      <c r="E240" s="9" t="str">
        <f t="shared" si="15"/>
        <v/>
      </c>
      <c r="F240" s="9" t="str">
        <f t="shared" si="16"/>
        <v/>
      </c>
    </row>
    <row r="241" spans="1:6" x14ac:dyDescent="0.3">
      <c r="A241" s="6"/>
      <c r="B241" s="7" t="str">
        <f t="shared" si="13"/>
        <v/>
      </c>
      <c r="E241" s="9" t="str">
        <f t="shared" si="15"/>
        <v/>
      </c>
      <c r="F241" s="9" t="str">
        <f t="shared" si="16"/>
        <v/>
      </c>
    </row>
    <row r="242" spans="1:6" x14ac:dyDescent="0.3">
      <c r="A242" s="6"/>
      <c r="B242" s="7" t="str">
        <f t="shared" si="13"/>
        <v/>
      </c>
      <c r="E242" s="9" t="str">
        <f t="shared" si="15"/>
        <v/>
      </c>
      <c r="F242" s="9" t="str">
        <f t="shared" si="16"/>
        <v/>
      </c>
    </row>
    <row r="243" spans="1:6" x14ac:dyDescent="0.3">
      <c r="A243" s="6"/>
      <c r="B243" s="7" t="str">
        <f t="shared" si="13"/>
        <v/>
      </c>
      <c r="E243" s="9" t="str">
        <f t="shared" si="15"/>
        <v/>
      </c>
      <c r="F243" s="9" t="str">
        <f t="shared" si="16"/>
        <v/>
      </c>
    </row>
    <row r="244" spans="1:6" x14ac:dyDescent="0.3">
      <c r="A244" s="6"/>
      <c r="B244" s="7" t="str">
        <f t="shared" si="13"/>
        <v/>
      </c>
      <c r="E244" s="9" t="str">
        <f t="shared" si="15"/>
        <v/>
      </c>
      <c r="F244" s="9" t="str">
        <f t="shared" si="16"/>
        <v/>
      </c>
    </row>
    <row r="245" spans="1:6" x14ac:dyDescent="0.3">
      <c r="A245" s="6"/>
      <c r="B245" s="7" t="str">
        <f t="shared" si="13"/>
        <v/>
      </c>
      <c r="E245" s="9" t="str">
        <f t="shared" si="15"/>
        <v/>
      </c>
      <c r="F245" s="9" t="str">
        <f t="shared" si="16"/>
        <v/>
      </c>
    </row>
    <row r="246" spans="1:6" x14ac:dyDescent="0.3">
      <c r="A246" s="6"/>
      <c r="B246" s="7" t="str">
        <f t="shared" si="13"/>
        <v/>
      </c>
      <c r="E246" s="9" t="str">
        <f t="shared" si="15"/>
        <v/>
      </c>
      <c r="F246" s="9" t="str">
        <f t="shared" si="16"/>
        <v/>
      </c>
    </row>
    <row r="247" spans="1:6" x14ac:dyDescent="0.3">
      <c r="A247" s="6"/>
      <c r="B247" s="7" t="str">
        <f t="shared" si="13"/>
        <v/>
      </c>
      <c r="E247" s="9" t="str">
        <f t="shared" si="15"/>
        <v/>
      </c>
      <c r="F247" s="9" t="str">
        <f t="shared" si="16"/>
        <v/>
      </c>
    </row>
    <row r="248" spans="1:6" x14ac:dyDescent="0.3">
      <c r="A248" s="6"/>
      <c r="B248" s="7" t="str">
        <f t="shared" si="13"/>
        <v/>
      </c>
      <c r="E248" s="9" t="str">
        <f t="shared" si="15"/>
        <v/>
      </c>
      <c r="F248" s="9" t="str">
        <f t="shared" si="16"/>
        <v/>
      </c>
    </row>
    <row r="249" spans="1:6" x14ac:dyDescent="0.3">
      <c r="A249" s="6"/>
      <c r="B249" s="7" t="str">
        <f t="shared" si="13"/>
        <v/>
      </c>
      <c r="E249" s="9" t="str">
        <f t="shared" si="15"/>
        <v/>
      </c>
      <c r="F249" s="9" t="str">
        <f t="shared" si="16"/>
        <v/>
      </c>
    </row>
    <row r="250" spans="1:6" x14ac:dyDescent="0.3">
      <c r="A250" s="6"/>
      <c r="B250" s="7" t="str">
        <f t="shared" si="13"/>
        <v/>
      </c>
      <c r="E250" s="9" t="str">
        <f t="shared" si="15"/>
        <v/>
      </c>
      <c r="F250" s="9" t="str">
        <f t="shared" si="16"/>
        <v/>
      </c>
    </row>
    <row r="251" spans="1:6" x14ac:dyDescent="0.3">
      <c r="A251" s="6"/>
      <c r="B251" s="7" t="str">
        <f t="shared" si="13"/>
        <v/>
      </c>
      <c r="E251" s="9" t="str">
        <f t="shared" si="15"/>
        <v/>
      </c>
      <c r="F251" s="9" t="str">
        <f t="shared" si="16"/>
        <v/>
      </c>
    </row>
    <row r="252" spans="1:6" x14ac:dyDescent="0.3">
      <c r="A252" s="6"/>
      <c r="B252" s="7" t="str">
        <f t="shared" si="13"/>
        <v/>
      </c>
      <c r="E252" s="9" t="str">
        <f t="shared" si="15"/>
        <v/>
      </c>
      <c r="F252" s="9" t="str">
        <f t="shared" si="16"/>
        <v/>
      </c>
    </row>
    <row r="253" spans="1:6" x14ac:dyDescent="0.3">
      <c r="A253" s="6"/>
      <c r="B253" s="7" t="str">
        <f t="shared" si="13"/>
        <v/>
      </c>
      <c r="E253" s="9" t="str">
        <f t="shared" si="15"/>
        <v/>
      </c>
      <c r="F253" s="9" t="str">
        <f t="shared" si="16"/>
        <v/>
      </c>
    </row>
    <row r="254" spans="1:6" x14ac:dyDescent="0.3">
      <c r="A254" s="6"/>
      <c r="B254" s="7" t="str">
        <f t="shared" si="13"/>
        <v/>
      </c>
      <c r="E254" s="9" t="str">
        <f t="shared" si="15"/>
        <v/>
      </c>
      <c r="F254" s="9" t="str">
        <f t="shared" si="16"/>
        <v/>
      </c>
    </row>
    <row r="255" spans="1:6" x14ac:dyDescent="0.3">
      <c r="A255" s="6"/>
      <c r="B255" s="7" t="str">
        <f t="shared" si="13"/>
        <v/>
      </c>
      <c r="E255" s="9" t="str">
        <f t="shared" si="15"/>
        <v/>
      </c>
      <c r="F255" s="9" t="str">
        <f t="shared" si="16"/>
        <v/>
      </c>
    </row>
    <row r="256" spans="1:6" x14ac:dyDescent="0.3">
      <c r="B256" s="7" t="str">
        <f t="shared" si="13"/>
        <v/>
      </c>
      <c r="E256" s="9" t="str">
        <f t="shared" si="15"/>
        <v/>
      </c>
      <c r="F256" s="9" t="str">
        <f t="shared" si="16"/>
        <v/>
      </c>
    </row>
    <row r="257" spans="2:6" x14ac:dyDescent="0.3">
      <c r="B257" s="7" t="str">
        <f t="shared" si="13"/>
        <v/>
      </c>
      <c r="E257" s="9" t="str">
        <f t="shared" si="15"/>
        <v/>
      </c>
      <c r="F257" s="9" t="str">
        <f t="shared" si="16"/>
        <v/>
      </c>
    </row>
    <row r="258" spans="2:6" x14ac:dyDescent="0.3">
      <c r="B258" s="7" t="str">
        <f t="shared" si="13"/>
        <v/>
      </c>
      <c r="E258" s="9" t="str">
        <f t="shared" si="15"/>
        <v/>
      </c>
      <c r="F258" s="9" t="str">
        <f t="shared" si="16"/>
        <v/>
      </c>
    </row>
    <row r="259" spans="2:6" x14ac:dyDescent="0.3">
      <c r="B259" s="7" t="str">
        <f t="shared" si="13"/>
        <v/>
      </c>
      <c r="E259" s="9" t="str">
        <f t="shared" si="15"/>
        <v/>
      </c>
      <c r="F259" s="9" t="str">
        <f t="shared" si="16"/>
        <v/>
      </c>
    </row>
    <row r="260" spans="2:6" x14ac:dyDescent="0.3">
      <c r="B260" s="7" t="str">
        <f t="shared" si="13"/>
        <v/>
      </c>
      <c r="E260" s="9" t="str">
        <f t="shared" si="15"/>
        <v/>
      </c>
      <c r="F260" s="9" t="str">
        <f t="shared" si="16"/>
        <v/>
      </c>
    </row>
    <row r="261" spans="2:6" x14ac:dyDescent="0.3">
      <c r="B261" s="7" t="str">
        <f t="shared" ref="B261:B301" si="17">IF(A261="","",IF(A262="",A261+5000,A262-1))</f>
        <v/>
      </c>
      <c r="E261" s="9" t="str">
        <f t="shared" si="15"/>
        <v/>
      </c>
      <c r="F261" s="9" t="str">
        <f t="shared" si="16"/>
        <v/>
      </c>
    </row>
    <row r="262" spans="2:6" x14ac:dyDescent="0.3">
      <c r="B262" s="7" t="str">
        <f t="shared" si="17"/>
        <v/>
      </c>
      <c r="E262" s="9" t="str">
        <f t="shared" si="15"/>
        <v/>
      </c>
      <c r="F262" s="9" t="str">
        <f t="shared" si="16"/>
        <v/>
      </c>
    </row>
    <row r="263" spans="2:6" x14ac:dyDescent="0.3">
      <c r="B263" s="7" t="str">
        <f t="shared" si="17"/>
        <v/>
      </c>
      <c r="E263" s="9" t="str">
        <f t="shared" si="15"/>
        <v/>
      </c>
      <c r="F263" s="9" t="str">
        <f t="shared" si="16"/>
        <v/>
      </c>
    </row>
    <row r="264" spans="2:6" x14ac:dyDescent="0.3">
      <c r="B264" s="7" t="str">
        <f t="shared" si="17"/>
        <v/>
      </c>
      <c r="E264" s="9" t="str">
        <f t="shared" si="15"/>
        <v/>
      </c>
      <c r="F264" s="9" t="str">
        <f t="shared" si="16"/>
        <v/>
      </c>
    </row>
    <row r="265" spans="2:6" x14ac:dyDescent="0.3">
      <c r="B265" s="7" t="str">
        <f t="shared" si="17"/>
        <v/>
      </c>
      <c r="E265" s="9" t="str">
        <f t="shared" ref="E265:E301" si="18">IF(A265="","",C265+$E$1)</f>
        <v/>
      </c>
      <c r="F265" s="9" t="str">
        <f t="shared" ref="F265:F301" si="19">IF(A265="","",C265+$F$1)</f>
        <v/>
      </c>
    </row>
    <row r="266" spans="2:6" x14ac:dyDescent="0.3">
      <c r="B266" s="7" t="str">
        <f t="shared" si="17"/>
        <v/>
      </c>
      <c r="E266" s="9" t="str">
        <f t="shared" si="18"/>
        <v/>
      </c>
      <c r="F266" s="9" t="str">
        <f t="shared" si="19"/>
        <v/>
      </c>
    </row>
    <row r="267" spans="2:6" x14ac:dyDescent="0.3">
      <c r="B267" s="7" t="str">
        <f t="shared" si="17"/>
        <v/>
      </c>
      <c r="E267" s="9" t="str">
        <f t="shared" si="18"/>
        <v/>
      </c>
      <c r="F267" s="9" t="str">
        <f t="shared" si="19"/>
        <v/>
      </c>
    </row>
    <row r="268" spans="2:6" x14ac:dyDescent="0.3">
      <c r="B268" s="7" t="str">
        <f t="shared" si="17"/>
        <v/>
      </c>
      <c r="E268" s="9" t="str">
        <f t="shared" si="18"/>
        <v/>
      </c>
      <c r="F268" s="9" t="str">
        <f t="shared" si="19"/>
        <v/>
      </c>
    </row>
    <row r="269" spans="2:6" x14ac:dyDescent="0.3">
      <c r="B269" s="7" t="str">
        <f t="shared" si="17"/>
        <v/>
      </c>
      <c r="E269" s="9" t="str">
        <f t="shared" si="18"/>
        <v/>
      </c>
      <c r="F269" s="9" t="str">
        <f t="shared" si="19"/>
        <v/>
      </c>
    </row>
    <row r="270" spans="2:6" x14ac:dyDescent="0.3">
      <c r="B270" s="7" t="str">
        <f t="shared" si="17"/>
        <v/>
      </c>
      <c r="E270" s="9" t="str">
        <f t="shared" si="18"/>
        <v/>
      </c>
      <c r="F270" s="9" t="str">
        <f t="shared" si="19"/>
        <v/>
      </c>
    </row>
    <row r="271" spans="2:6" x14ac:dyDescent="0.3">
      <c r="B271" s="7" t="str">
        <f t="shared" si="17"/>
        <v/>
      </c>
      <c r="E271" s="9" t="str">
        <f t="shared" si="18"/>
        <v/>
      </c>
      <c r="F271" s="9" t="str">
        <f t="shared" si="19"/>
        <v/>
      </c>
    </row>
    <row r="272" spans="2:6" x14ac:dyDescent="0.3">
      <c r="B272" s="7" t="str">
        <f t="shared" si="17"/>
        <v/>
      </c>
      <c r="E272" s="9" t="str">
        <f t="shared" si="18"/>
        <v/>
      </c>
      <c r="F272" s="9" t="str">
        <f t="shared" si="19"/>
        <v/>
      </c>
    </row>
    <row r="273" spans="2:6" x14ac:dyDescent="0.3">
      <c r="B273" s="7" t="str">
        <f t="shared" si="17"/>
        <v/>
      </c>
      <c r="E273" s="9" t="str">
        <f t="shared" si="18"/>
        <v/>
      </c>
      <c r="F273" s="9" t="str">
        <f t="shared" si="19"/>
        <v/>
      </c>
    </row>
    <row r="274" spans="2:6" x14ac:dyDescent="0.3">
      <c r="B274" s="7" t="str">
        <f t="shared" si="17"/>
        <v/>
      </c>
      <c r="E274" s="9" t="str">
        <f t="shared" si="18"/>
        <v/>
      </c>
      <c r="F274" s="9" t="str">
        <f t="shared" si="19"/>
        <v/>
      </c>
    </row>
    <row r="275" spans="2:6" x14ac:dyDescent="0.3">
      <c r="B275" s="7" t="str">
        <f t="shared" si="17"/>
        <v/>
      </c>
      <c r="E275" s="9" t="str">
        <f t="shared" si="18"/>
        <v/>
      </c>
      <c r="F275" s="9" t="str">
        <f t="shared" si="19"/>
        <v/>
      </c>
    </row>
    <row r="276" spans="2:6" x14ac:dyDescent="0.3">
      <c r="B276" s="7" t="str">
        <f t="shared" si="17"/>
        <v/>
      </c>
      <c r="E276" s="9" t="str">
        <f t="shared" si="18"/>
        <v/>
      </c>
      <c r="F276" s="9" t="str">
        <f t="shared" si="19"/>
        <v/>
      </c>
    </row>
    <row r="277" spans="2:6" x14ac:dyDescent="0.3">
      <c r="B277" s="7" t="str">
        <f t="shared" si="17"/>
        <v/>
      </c>
      <c r="E277" s="9" t="str">
        <f t="shared" si="18"/>
        <v/>
      </c>
      <c r="F277" s="9" t="str">
        <f t="shared" si="19"/>
        <v/>
      </c>
    </row>
    <row r="278" spans="2:6" x14ac:dyDescent="0.3">
      <c r="B278" s="7" t="str">
        <f t="shared" si="17"/>
        <v/>
      </c>
      <c r="E278" s="9" t="str">
        <f t="shared" si="18"/>
        <v/>
      </c>
      <c r="F278" s="9" t="str">
        <f t="shared" si="19"/>
        <v/>
      </c>
    </row>
    <row r="279" spans="2:6" x14ac:dyDescent="0.3">
      <c r="B279" s="7" t="str">
        <f t="shared" si="17"/>
        <v/>
      </c>
      <c r="E279" s="9" t="str">
        <f t="shared" si="18"/>
        <v/>
      </c>
      <c r="F279" s="9" t="str">
        <f t="shared" si="19"/>
        <v/>
      </c>
    </row>
    <row r="280" spans="2:6" x14ac:dyDescent="0.3">
      <c r="B280" s="7" t="str">
        <f t="shared" si="17"/>
        <v/>
      </c>
      <c r="E280" s="9" t="str">
        <f t="shared" si="18"/>
        <v/>
      </c>
      <c r="F280" s="9" t="str">
        <f t="shared" si="19"/>
        <v/>
      </c>
    </row>
    <row r="281" spans="2:6" x14ac:dyDescent="0.3">
      <c r="B281" s="7" t="str">
        <f t="shared" si="17"/>
        <v/>
      </c>
      <c r="E281" s="9" t="str">
        <f t="shared" si="18"/>
        <v/>
      </c>
      <c r="F281" s="9" t="str">
        <f t="shared" si="19"/>
        <v/>
      </c>
    </row>
    <row r="282" spans="2:6" x14ac:dyDescent="0.3">
      <c r="B282" s="7" t="str">
        <f t="shared" si="17"/>
        <v/>
      </c>
      <c r="E282" s="9" t="str">
        <f t="shared" si="18"/>
        <v/>
      </c>
      <c r="F282" s="9" t="str">
        <f t="shared" si="19"/>
        <v/>
      </c>
    </row>
    <row r="283" spans="2:6" x14ac:dyDescent="0.3">
      <c r="B283" s="7" t="str">
        <f t="shared" si="17"/>
        <v/>
      </c>
      <c r="E283" s="9" t="str">
        <f t="shared" si="18"/>
        <v/>
      </c>
      <c r="F283" s="9" t="str">
        <f t="shared" si="19"/>
        <v/>
      </c>
    </row>
    <row r="284" spans="2:6" x14ac:dyDescent="0.3">
      <c r="B284" s="7" t="str">
        <f t="shared" si="17"/>
        <v/>
      </c>
      <c r="E284" s="9" t="str">
        <f t="shared" si="18"/>
        <v/>
      </c>
      <c r="F284" s="9" t="str">
        <f t="shared" si="19"/>
        <v/>
      </c>
    </row>
    <row r="285" spans="2:6" x14ac:dyDescent="0.3">
      <c r="B285" s="7" t="str">
        <f t="shared" si="17"/>
        <v/>
      </c>
      <c r="E285" s="9" t="str">
        <f t="shared" si="18"/>
        <v/>
      </c>
      <c r="F285" s="9" t="str">
        <f t="shared" si="19"/>
        <v/>
      </c>
    </row>
    <row r="286" spans="2:6" x14ac:dyDescent="0.3">
      <c r="B286" s="7" t="str">
        <f t="shared" si="17"/>
        <v/>
      </c>
      <c r="E286" s="9" t="str">
        <f t="shared" si="18"/>
        <v/>
      </c>
      <c r="F286" s="9" t="str">
        <f t="shared" si="19"/>
        <v/>
      </c>
    </row>
    <row r="287" spans="2:6" x14ac:dyDescent="0.3">
      <c r="B287" s="7" t="str">
        <f t="shared" si="17"/>
        <v/>
      </c>
      <c r="E287" s="9" t="str">
        <f t="shared" si="18"/>
        <v/>
      </c>
      <c r="F287" s="9" t="str">
        <f t="shared" si="19"/>
        <v/>
      </c>
    </row>
    <row r="288" spans="2:6" x14ac:dyDescent="0.3">
      <c r="B288" s="7" t="str">
        <f t="shared" si="17"/>
        <v/>
      </c>
      <c r="E288" s="9" t="str">
        <f t="shared" si="18"/>
        <v/>
      </c>
      <c r="F288" s="9" t="str">
        <f t="shared" si="19"/>
        <v/>
      </c>
    </row>
    <row r="289" spans="2:6" x14ac:dyDescent="0.3">
      <c r="B289" s="7" t="str">
        <f t="shared" si="17"/>
        <v/>
      </c>
      <c r="E289" s="9" t="str">
        <f t="shared" si="18"/>
        <v/>
      </c>
      <c r="F289" s="9" t="str">
        <f t="shared" si="19"/>
        <v/>
      </c>
    </row>
    <row r="290" spans="2:6" x14ac:dyDescent="0.3">
      <c r="B290" s="7" t="str">
        <f t="shared" si="17"/>
        <v/>
      </c>
      <c r="E290" s="9" t="str">
        <f t="shared" si="18"/>
        <v/>
      </c>
      <c r="F290" s="9" t="str">
        <f t="shared" si="19"/>
        <v/>
      </c>
    </row>
    <row r="291" spans="2:6" x14ac:dyDescent="0.3">
      <c r="B291" s="7" t="str">
        <f t="shared" si="17"/>
        <v/>
      </c>
      <c r="E291" s="9" t="str">
        <f t="shared" si="18"/>
        <v/>
      </c>
      <c r="F291" s="9" t="str">
        <f t="shared" si="19"/>
        <v/>
      </c>
    </row>
    <row r="292" spans="2:6" x14ac:dyDescent="0.3">
      <c r="B292" s="7" t="str">
        <f t="shared" si="17"/>
        <v/>
      </c>
      <c r="E292" s="9" t="str">
        <f t="shared" si="18"/>
        <v/>
      </c>
      <c r="F292" s="9" t="str">
        <f t="shared" si="19"/>
        <v/>
      </c>
    </row>
    <row r="293" spans="2:6" x14ac:dyDescent="0.3">
      <c r="B293" s="7" t="str">
        <f t="shared" si="17"/>
        <v/>
      </c>
      <c r="E293" s="9" t="str">
        <f t="shared" si="18"/>
        <v/>
      </c>
      <c r="F293" s="9" t="str">
        <f t="shared" si="19"/>
        <v/>
      </c>
    </row>
    <row r="294" spans="2:6" x14ac:dyDescent="0.3">
      <c r="B294" s="7" t="str">
        <f t="shared" si="17"/>
        <v/>
      </c>
      <c r="E294" s="9" t="str">
        <f t="shared" si="18"/>
        <v/>
      </c>
      <c r="F294" s="9" t="str">
        <f t="shared" si="19"/>
        <v/>
      </c>
    </row>
    <row r="295" spans="2:6" x14ac:dyDescent="0.3">
      <c r="B295" s="7" t="str">
        <f t="shared" si="17"/>
        <v/>
      </c>
      <c r="E295" s="9" t="str">
        <f t="shared" si="18"/>
        <v/>
      </c>
      <c r="F295" s="9" t="str">
        <f t="shared" si="19"/>
        <v/>
      </c>
    </row>
    <row r="296" spans="2:6" x14ac:dyDescent="0.3">
      <c r="B296" s="7" t="str">
        <f t="shared" si="17"/>
        <v/>
      </c>
      <c r="E296" s="9" t="str">
        <f t="shared" si="18"/>
        <v/>
      </c>
      <c r="F296" s="9" t="str">
        <f t="shared" si="19"/>
        <v/>
      </c>
    </row>
    <row r="297" spans="2:6" x14ac:dyDescent="0.3">
      <c r="B297" s="7" t="str">
        <f t="shared" si="17"/>
        <v/>
      </c>
      <c r="E297" s="9" t="str">
        <f t="shared" si="18"/>
        <v/>
      </c>
      <c r="F297" s="9" t="str">
        <f t="shared" si="19"/>
        <v/>
      </c>
    </row>
    <row r="298" spans="2:6" x14ac:dyDescent="0.3">
      <c r="B298" s="7" t="str">
        <f t="shared" si="17"/>
        <v/>
      </c>
      <c r="E298" s="9" t="str">
        <f t="shared" si="18"/>
        <v/>
      </c>
      <c r="F298" s="9" t="str">
        <f t="shared" si="19"/>
        <v/>
      </c>
    </row>
    <row r="299" spans="2:6" x14ac:dyDescent="0.3">
      <c r="B299" s="7" t="str">
        <f t="shared" si="17"/>
        <v/>
      </c>
      <c r="E299" s="9" t="str">
        <f t="shared" si="18"/>
        <v/>
      </c>
      <c r="F299" s="9" t="str">
        <f t="shared" si="19"/>
        <v/>
      </c>
    </row>
    <row r="300" spans="2:6" x14ac:dyDescent="0.3">
      <c r="B300" s="7" t="str">
        <f t="shared" si="17"/>
        <v/>
      </c>
      <c r="E300" s="9" t="str">
        <f t="shared" si="18"/>
        <v/>
      </c>
      <c r="F300" s="9" t="str">
        <f t="shared" si="19"/>
        <v/>
      </c>
    </row>
    <row r="301" spans="2:6" x14ac:dyDescent="0.3">
      <c r="B301" s="7" t="str">
        <f t="shared" si="17"/>
        <v/>
      </c>
      <c r="E301" s="9" t="str">
        <f t="shared" si="18"/>
        <v/>
      </c>
      <c r="F301" s="9" t="str">
        <f t="shared" si="19"/>
        <v/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05A4-F580-4A27-B8CD-0FA60AF9003D}">
  <sheetPr codeName="Sheet2">
    <pageSetUpPr fitToPage="1"/>
  </sheetPr>
  <dimension ref="A1:BD355"/>
  <sheetViews>
    <sheetView tabSelected="1" topLeftCell="B1" zoomScale="80" zoomScaleNormal="80" workbookViewId="0">
      <pane ySplit="1" topLeftCell="A2" activePane="bottomLeft" state="frozen"/>
      <selection activeCell="I1" sqref="I1"/>
      <selection pane="bottomLeft" activeCell="B2" sqref="B2"/>
    </sheetView>
  </sheetViews>
  <sheetFormatPr defaultColWidth="9.109375" defaultRowHeight="14.4" outlineLevelCol="1" x14ac:dyDescent="0.3"/>
  <cols>
    <col min="1" max="1" width="3" style="11" hidden="1" customWidth="1"/>
    <col min="2" max="2" width="16.109375" style="20" bestFit="1" customWidth="1"/>
    <col min="3" max="3" width="10.109375" style="20" hidden="1" customWidth="1"/>
    <col min="4" max="4" width="14.33203125" style="20" customWidth="1"/>
    <col min="5" max="5" width="12.88671875" style="20" customWidth="1"/>
    <col min="6" max="6" width="3" style="20" customWidth="1"/>
    <col min="7" max="7" width="9.109375" style="20" hidden="1" customWidth="1"/>
    <col min="8" max="16" width="9.109375" style="20" hidden="1" customWidth="1" outlineLevel="1"/>
    <col min="17" max="17" width="4" style="20" hidden="1" customWidth="1" outlineLevel="1"/>
    <col min="18" max="18" width="2" style="20" hidden="1" customWidth="1" outlineLevel="1"/>
    <col min="19" max="19" width="9.109375" style="20" hidden="1" customWidth="1" outlineLevel="1"/>
    <col min="20" max="20" width="9.109375" style="20" hidden="1" customWidth="1" collapsed="1"/>
    <col min="21" max="22" width="9.109375" style="20" hidden="1" customWidth="1"/>
    <col min="23" max="23" width="12.109375" style="20" hidden="1" customWidth="1"/>
    <col min="24" max="25" width="9.109375" style="20" hidden="1" customWidth="1"/>
    <col min="26" max="27" width="9.109375" style="20" hidden="1" customWidth="1" outlineLevel="1"/>
    <col min="28" max="28" width="9.109375" style="20" hidden="1" customWidth="1" collapsed="1"/>
    <col min="29" max="29" width="3.109375" style="20" hidden="1" customWidth="1"/>
    <col min="30" max="30" width="3" style="20" hidden="1" customWidth="1"/>
    <col min="31" max="31" width="13.109375" style="20" bestFit="1" customWidth="1"/>
    <col min="32" max="32" width="12.88671875" style="20" customWidth="1"/>
    <col min="33" max="33" width="11" style="20" bestFit="1" customWidth="1"/>
    <col min="34" max="34" width="11.5546875" style="20" customWidth="1"/>
    <col min="35" max="36" width="12.6640625" style="20" customWidth="1"/>
    <col min="37" max="37" width="9.44140625" style="20" bestFit="1" customWidth="1"/>
    <col min="38" max="38" width="9.44140625" style="20" hidden="1" customWidth="1"/>
    <col min="39" max="39" width="9.109375" style="20" hidden="1" customWidth="1" outlineLevel="1"/>
    <col min="40" max="40" width="9.5546875" style="20" hidden="1" customWidth="1" outlineLevel="1"/>
    <col min="41" max="41" width="10.109375" style="20" hidden="1" customWidth="1" outlineLevel="1"/>
    <col min="42" max="42" width="9.109375" style="20" hidden="1" customWidth="1" outlineLevel="1"/>
    <col min="43" max="43" width="3" style="20" hidden="1" customWidth="1" outlineLevel="1"/>
    <col min="44" max="44" width="3" style="26" hidden="1" customWidth="1" outlineLevel="1"/>
    <col min="45" max="45" width="10.6640625" style="20" hidden="1" customWidth="1" outlineLevel="1"/>
    <col min="46" max="46" width="9.109375" style="20" hidden="1" customWidth="1" collapsed="1"/>
    <col min="47" max="47" width="4.33203125" style="20" customWidth="1"/>
    <col min="48" max="48" width="17.44140625" style="20" customWidth="1"/>
    <col min="49" max="49" width="9.109375" style="20"/>
    <col min="50" max="50" width="10.33203125" style="20" customWidth="1"/>
    <col min="51" max="51" width="15" style="20" customWidth="1"/>
    <col min="52" max="52" width="9.109375" style="20"/>
    <col min="53" max="53" width="14.33203125" style="20" customWidth="1"/>
    <col min="54" max="54" width="9.109375" style="20"/>
    <col min="55" max="55" width="9.109375" style="20" hidden="1" customWidth="1"/>
    <col min="56" max="56" width="35.5546875" style="20" hidden="1" customWidth="1"/>
    <col min="57" max="16384" width="9.109375" style="20"/>
  </cols>
  <sheetData>
    <row r="1" spans="1:56" ht="15" thickBot="1" x14ac:dyDescent="0.35">
      <c r="B1" s="12" t="s">
        <v>7</v>
      </c>
      <c r="C1" s="13" t="s">
        <v>8</v>
      </c>
      <c r="D1" s="14" t="s">
        <v>9</v>
      </c>
      <c r="E1" s="15" t="s">
        <v>10</v>
      </c>
      <c r="F1" s="86"/>
      <c r="G1" s="87"/>
      <c r="H1" s="16" t="s">
        <v>11</v>
      </c>
      <c r="I1" s="85" t="s">
        <v>12</v>
      </c>
      <c r="J1" s="85"/>
      <c r="K1" s="17" t="s">
        <v>13</v>
      </c>
      <c r="L1" s="17" t="s">
        <v>14</v>
      </c>
      <c r="M1" s="85" t="s">
        <v>13</v>
      </c>
      <c r="N1" s="85" t="s">
        <v>15</v>
      </c>
      <c r="O1" s="85" t="s">
        <v>16</v>
      </c>
      <c r="P1" s="17"/>
      <c r="Q1" s="85"/>
      <c r="R1" s="152" t="s">
        <v>17</v>
      </c>
      <c r="S1" s="152"/>
      <c r="T1" s="18" t="s">
        <v>18</v>
      </c>
      <c r="U1" s="88" t="s">
        <v>19</v>
      </c>
      <c r="V1" s="18"/>
      <c r="W1" s="18" t="s">
        <v>20</v>
      </c>
      <c r="X1" s="18" t="s">
        <v>12</v>
      </c>
      <c r="Y1" s="18" t="s">
        <v>21</v>
      </c>
      <c r="Z1" s="19" t="s">
        <v>22</v>
      </c>
      <c r="AA1" s="89"/>
      <c r="AB1" s="18" t="s">
        <v>22</v>
      </c>
      <c r="AC1" s="18"/>
      <c r="AD1" s="89"/>
      <c r="AE1" s="21" t="s">
        <v>23</v>
      </c>
      <c r="AF1" s="21"/>
      <c r="AG1" s="21" t="s">
        <v>24</v>
      </c>
      <c r="AH1" s="21"/>
      <c r="AI1" s="21"/>
      <c r="AJ1" s="21" t="s">
        <v>25</v>
      </c>
      <c r="AK1" s="89"/>
      <c r="AL1" s="89"/>
      <c r="AM1" s="89"/>
      <c r="AN1" s="22" t="s">
        <v>26</v>
      </c>
      <c r="AO1" s="18" t="s">
        <v>27</v>
      </c>
      <c r="AP1" s="18" t="s">
        <v>28</v>
      </c>
      <c r="AQ1" s="18"/>
      <c r="AR1" s="23"/>
      <c r="AS1" s="18" t="s">
        <v>29</v>
      </c>
      <c r="AT1" s="89"/>
      <c r="AU1" s="89"/>
      <c r="AV1" s="89"/>
      <c r="AW1" s="89"/>
      <c r="AX1" s="89"/>
      <c r="AY1" s="89"/>
      <c r="AZ1" s="89"/>
      <c r="BA1" s="89"/>
      <c r="BB1" s="89"/>
      <c r="BC1" s="18" t="s">
        <v>7</v>
      </c>
      <c r="BD1" s="18" t="s">
        <v>30</v>
      </c>
    </row>
    <row r="2" spans="1:56" ht="15" thickBot="1" x14ac:dyDescent="0.35">
      <c r="B2" s="90"/>
      <c r="C2" s="87">
        <f>HLOOKUP(D2,'Interest Rates'!A:K,2,FALSE)</f>
        <v>4</v>
      </c>
      <c r="D2" s="91">
        <v>0.01</v>
      </c>
      <c r="E2" s="92" t="s">
        <v>31</v>
      </c>
      <c r="F2" s="86"/>
      <c r="G2" s="87"/>
      <c r="H2" s="93" t="str">
        <f>IFERROR(LOOKUP(W2,$B$21:$C$33,$G$21:$G$33),"")</f>
        <v/>
      </c>
      <c r="I2" s="24" t="b">
        <f>H2=H2</f>
        <v>1</v>
      </c>
      <c r="J2" s="24" t="str">
        <f>IF(I2=TRUE,"",LOOKUP(W2,$B$21:$C$33,$E$21:$E$33))</f>
        <v/>
      </c>
      <c r="K2" s="94">
        <f>IFERROR(LOOKUP(W2,$B$37:$C$46,$D$37:$D$46),0)</f>
        <v>0</v>
      </c>
      <c r="L2" s="95">
        <v>0</v>
      </c>
      <c r="M2" s="24">
        <f>IF(K2=K2,0,LOOKUP(W2,$B$37:$C$46,$D$37:$D$46))</f>
        <v>0</v>
      </c>
      <c r="N2" s="24" t="str">
        <f>IF(M2=0,"",VLOOKUP(W2,$B$35:$E$46,4,FALSE))</f>
        <v/>
      </c>
      <c r="O2" s="24" t="str">
        <f>IF(H2="","",IF(I2=TRUE,"",COUNTIF($I$2:I2,FALSE)+1))</f>
        <v/>
      </c>
      <c r="P2" s="17"/>
      <c r="Q2" s="24">
        <v>1</v>
      </c>
      <c r="R2" s="25">
        <v>1</v>
      </c>
      <c r="S2" s="25" t="str">
        <f>"Year "&amp;R2</f>
        <v>Year 1</v>
      </c>
      <c r="T2" s="89" t="str">
        <f>IF(Q2&lt;=$D$12,Q2,"")</f>
        <v/>
      </c>
      <c r="U2" s="88">
        <f>D10</f>
        <v>0</v>
      </c>
      <c r="V2" s="18" t="str">
        <f>IF(T2&lt;=$D$12,"Month "&amp;T2,"")</f>
        <v xml:space="preserve">Month </v>
      </c>
      <c r="W2" s="96">
        <f>IF(V2="","",EDATE(D11,1))</f>
        <v>31</v>
      </c>
      <c r="X2" s="97" t="str">
        <f>IFERROR(ROUND(D10*G21,2)*(W2-D11+1),"")</f>
        <v/>
      </c>
      <c r="Y2" s="98" t="str">
        <f>IFERROR(Z2-X2,"")</f>
        <v/>
      </c>
      <c r="Z2" s="98" t="e">
        <f>ROUND(-PMT(IF(B22="",D21,IF(B22-B21&lt;31,D22,D21))/12,D12,D10),0)</f>
        <v>#VALUE!</v>
      </c>
      <c r="AA2" s="99" t="str">
        <f>IFERROR(IF(U3&lt;Z2,U3,U2-Z2),"")</f>
        <v/>
      </c>
      <c r="AB2" s="99" t="str">
        <f>IFERROR(X2+Y2,"")</f>
        <v/>
      </c>
      <c r="AC2" s="99"/>
      <c r="AD2" s="89"/>
      <c r="AE2" s="21">
        <f>B2</f>
        <v>0</v>
      </c>
      <c r="AF2" s="156" t="str">
        <f>B5</f>
        <v/>
      </c>
      <c r="AG2" s="156"/>
      <c r="AH2" s="156"/>
      <c r="AI2" s="156"/>
      <c r="AJ2" s="100" t="str">
        <f>IF(D11="","",D11)</f>
        <v/>
      </c>
      <c r="AK2" s="101"/>
      <c r="AL2" s="101"/>
      <c r="AM2" s="89">
        <f>COUNTIF($AP$2:AP2,AO2)</f>
        <v>0</v>
      </c>
      <c r="AN2" s="102">
        <f>IF(DATE(YEAR($D$11),3,31)&gt;D11,DATE(YEAR($D$11),3,31),DATE(YEAR($D$11)+1,3,31))</f>
        <v>91</v>
      </c>
      <c r="AO2" s="103">
        <f>MAX(W:W)</f>
        <v>4532</v>
      </c>
      <c r="AP2" s="103">
        <f>IF(AN2&lt;MAX(W:W),AN2,MAX(W:W))</f>
        <v>91</v>
      </c>
      <c r="AQ2" s="104">
        <v>1</v>
      </c>
      <c r="AR2" s="104">
        <f>IF(AS2="","",AQ2)</f>
        <v>1</v>
      </c>
      <c r="AS2" s="103">
        <f>IF(AM2&gt;1,"",AP2)</f>
        <v>91</v>
      </c>
      <c r="AT2" s="89"/>
      <c r="AU2" s="89"/>
      <c r="AV2" s="27" t="s">
        <v>32</v>
      </c>
      <c r="AW2" s="89"/>
      <c r="AX2" s="89"/>
      <c r="AY2" s="89"/>
      <c r="AZ2" s="89"/>
      <c r="BA2" s="89"/>
      <c r="BB2" s="89"/>
      <c r="BC2" s="89">
        <v>1001</v>
      </c>
      <c r="BD2" s="105" t="s">
        <v>64</v>
      </c>
    </row>
    <row r="3" spans="1:56" ht="15" thickBot="1" x14ac:dyDescent="0.35">
      <c r="B3" s="89"/>
      <c r="C3" s="89"/>
      <c r="D3" s="89"/>
      <c r="E3" s="89"/>
      <c r="F3" s="89"/>
      <c r="G3" s="89"/>
      <c r="H3" s="93" t="str">
        <f>IFERROR(LOOKUP(W3,$B$21:$C$33,$G$21:$G$33),"")</f>
        <v/>
      </c>
      <c r="I3" s="89" t="str">
        <f>IF(H3="","",H3=H2)</f>
        <v/>
      </c>
      <c r="J3" s="24" t="e">
        <f>IF(I3=TRUE,"",LOOKUP(W3,$B$21:$C$33,$E$21:$E$33))</f>
        <v>#N/A</v>
      </c>
      <c r="K3" s="89" t="str">
        <f>IF(H3="","",IFERROR(LOOKUP(W3,$B$37:$C$46,$D$37:$D$46),0))</f>
        <v/>
      </c>
      <c r="L3" s="89" t="str">
        <f>IF(H3="","",COUNT($M$3:M3))</f>
        <v/>
      </c>
      <c r="M3" s="89" t="str">
        <f>IF(H3="","",IF(K3=K2,0,LOOKUP(W3,$B$37:$C$46,$D$37:$D$46)))</f>
        <v/>
      </c>
      <c r="N3" s="24" t="e">
        <f>IF(M3=0,"",VLOOKUP(W3,$B$35:$E$46,4,FALSE))</f>
        <v>#N/A</v>
      </c>
      <c r="O3" s="24" t="str">
        <f>IF(H3="","",IF(I3=TRUE,"",COUNTIF($I$2:I3,FALSE)+1))</f>
        <v/>
      </c>
      <c r="P3" s="89"/>
      <c r="Q3" s="87">
        <v>2</v>
      </c>
      <c r="R3" s="89">
        <f>IFERROR(IF(MONTH(W3)=4,R2+1,R2),"")</f>
        <v>1</v>
      </c>
      <c r="S3" s="25" t="str">
        <f t="shared" ref="S3:S66" si="0">"Year "&amp;R3</f>
        <v>Year 1</v>
      </c>
      <c r="T3" s="89" t="str">
        <f>IF(Q3&lt;=$D$12,Q3,"")</f>
        <v/>
      </c>
      <c r="U3" s="89" t="str">
        <f>IFERROR(IF(U2-Y2&lt;=0,"",U2-Y2),"")</f>
        <v/>
      </c>
      <c r="V3" s="18" t="str">
        <f>IF(T3&lt;=$D$12,"Month "&amp;T3,"")</f>
        <v xml:space="preserve">Month </v>
      </c>
      <c r="W3" s="96">
        <f>IF(V3="","",EDATE(W2,1))</f>
        <v>59</v>
      </c>
      <c r="X3" s="89" t="str">
        <f>IFERROR(IF(I3=TRUE,ROUND(U3*H3,2)*(W3-W2),ROUND(U3*H2,2)*(LOOKUP(W2,$B$21:$C$33,$C$21:$C$33)-W2)+ROUND(U3*H3,2)*(W3-LOOKUP(W2,$B$21:$C$33,$C$21:$C$33))),"")</f>
        <v/>
      </c>
      <c r="Y3" s="89" t="str">
        <f>IFERROR(IF(U3&lt;Z2,U3,IF(T3=$D$12,U3,Z3-X3+M3)),"")</f>
        <v/>
      </c>
      <c r="Z3" s="89" t="str">
        <f>IF(U3="","",IF(AND(I3=FALSE,J3="No"),Z2,IF(AND(M2&lt;&gt;0,N2="Yes"),ROUND(-PMT(LOOKUP(W2,'Interest Rates'!$A$5:$A$302,'Interest Rates'!$D$5:$D$302)/12,($D$12-T3+1),U3),0),IF(I3=TRUE,Z2,ROUND(-PMT(VLOOKUP(O3,$A$14:$D$28,4,FALSE)/12,($D$12-T3+1),U3),0)))))</f>
        <v/>
      </c>
      <c r="AA3" s="89" t="str">
        <f>IFERROR(IF(U4&lt;Z3,Z2+U4,U3-Z3),"")</f>
        <v/>
      </c>
      <c r="AB3" s="89" t="str">
        <f>IFERROR(X3+Y3,"")</f>
        <v/>
      </c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>
        <f>COUNTIF($AP$2:AP3,AO3)</f>
        <v>0</v>
      </c>
      <c r="AN3" s="103">
        <f>DATE(YEAR(AN2)+1,3,31)</f>
        <v>456</v>
      </c>
      <c r="AO3" s="103">
        <f t="shared" ref="AO3:AO41" si="1">MAX(W:W)</f>
        <v>4532</v>
      </c>
      <c r="AP3" s="103">
        <f t="shared" ref="AP3:AP41" si="2">IF(AN3&lt;MAX(W:W),AN3,MAX(W:W))</f>
        <v>456</v>
      </c>
      <c r="AQ3" s="104">
        <v>2</v>
      </c>
      <c r="AR3" s="104">
        <f t="shared" ref="AR3:AR41" si="3">IF(AS3="","",AQ3)</f>
        <v>2</v>
      </c>
      <c r="AS3" s="103">
        <f t="shared" ref="AS3:AS41" si="4">IF(AM3&gt;1,"",AP3)</f>
        <v>456</v>
      </c>
      <c r="AT3" s="89"/>
      <c r="AU3" s="89"/>
      <c r="AV3" s="106" t="s">
        <v>33</v>
      </c>
      <c r="AW3" s="106"/>
      <c r="AX3" s="106"/>
      <c r="AY3" s="106"/>
      <c r="AZ3" s="106"/>
      <c r="BA3" s="106"/>
      <c r="BB3" s="89"/>
      <c r="BC3" s="89">
        <v>1123</v>
      </c>
      <c r="BD3" s="105" t="s">
        <v>247</v>
      </c>
    </row>
    <row r="4" spans="1:56" ht="15" thickBot="1" x14ac:dyDescent="0.35">
      <c r="B4" s="107" t="s">
        <v>30</v>
      </c>
      <c r="C4" s="89"/>
      <c r="D4" s="89"/>
      <c r="E4" s="89"/>
      <c r="F4" s="89"/>
      <c r="G4" s="89"/>
      <c r="H4" s="93" t="str">
        <f>IFERROR(LOOKUP(W4,$B$21:$C$33,$G$21:$G$33),"")</f>
        <v/>
      </c>
      <c r="I4" s="89" t="str">
        <f t="shared" ref="I4:I67" si="5">IF(H4="","",H4=H3)</f>
        <v/>
      </c>
      <c r="J4" s="24" t="e">
        <f>IF(I4=TRUE,"",LOOKUP(W4,$B$21:$C$33,$E$21:$E$33))</f>
        <v>#N/A</v>
      </c>
      <c r="K4" s="89" t="str">
        <f>IF(H4="","",IFERROR(LOOKUP(W4,$B$37:$C$46,$D$37:$D$46),0))</f>
        <v/>
      </c>
      <c r="L4" s="89" t="str">
        <f>IF(H4="","",COUNT($M$3:M4))</f>
        <v/>
      </c>
      <c r="M4" s="89" t="str">
        <f>IF(H4="","",IF(K4=K3,0,LOOKUP(W4,$B$37:$C$46,$D$37:$D$46)))</f>
        <v/>
      </c>
      <c r="N4" s="24" t="e">
        <f>IF(M4=0,"",VLOOKUP(W4,$B$35:$E$46,4,FALSE))</f>
        <v>#N/A</v>
      </c>
      <c r="O4" s="24" t="str">
        <f>IF(H4="","",IF(I4=TRUE,"",COUNTIF($I$2:I4,FALSE)+1))</f>
        <v/>
      </c>
      <c r="P4" s="89"/>
      <c r="Q4" s="24">
        <v>3</v>
      </c>
      <c r="R4" s="89">
        <f t="shared" ref="R4:R67" si="6">IFERROR(IF(MONTH(W4)=4,R3+1,R3),"")</f>
        <v>1</v>
      </c>
      <c r="S4" s="25" t="str">
        <f t="shared" si="0"/>
        <v>Year 1</v>
      </c>
      <c r="T4" s="89" t="str">
        <f>IF(Q4&lt;=$D$12,Q4,"")</f>
        <v/>
      </c>
      <c r="U4" s="89" t="str">
        <f t="shared" ref="U4:U67" si="7">IFERROR(IF(U3-Y3&lt;=0,"",U3-Y3),"")</f>
        <v/>
      </c>
      <c r="V4" s="18" t="str">
        <f>IF(T4&lt;=$D$12,"Month "&amp;T4,"")</f>
        <v xml:space="preserve">Month </v>
      </c>
      <c r="W4" s="96">
        <f t="shared" ref="W4:W67" si="8">IF(V4="","",EDATE(W3,1))</f>
        <v>88</v>
      </c>
      <c r="X4" s="89" t="str">
        <f>IFERROR(IF(I4=TRUE,ROUND(U4*H4,2)*(W4-W3),ROUND(U4*H3,2)*(LOOKUP(W3,$B$21:$C$33,$C$21:$C$33)-W3)+ROUND(U4*H4,2)*(W4-LOOKUP(W3,$B$21:$C$33,$C$21:$C$33))),"")</f>
        <v/>
      </c>
      <c r="Y4" s="89" t="str">
        <f>IFERROR(IF(U4&lt;Z3,U4,IF(T4=$D$12,U4,Z4-X4+M4)),"")</f>
        <v/>
      </c>
      <c r="Z4" s="89" t="str">
        <f>IF(U4="","",IF(AND(I4=FALSE,J4="No"),Z3,IF(AND(M3&lt;&gt;0,N3="Yes"),ROUND(-PMT(LOOKUP(W3,'Interest Rates'!$A$5:$A$302,'Interest Rates'!$D$5:$D$302)/12,($D$12-T4+1),U4),0),IF(I4=TRUE,Z3,ROUND(-PMT(VLOOKUP(O4,$A$14:$D$28,4,FALSE)/12,($D$12-T4+1),U4),0)))))</f>
        <v/>
      </c>
      <c r="AA4" s="89" t="str">
        <f t="shared" ref="AA4:AA67" si="9">IFERROR(IF(U5&lt;Z4,Z3+U5,U4-Z4),"")</f>
        <v/>
      </c>
      <c r="AB4" s="89" t="str">
        <f t="shared" ref="AB4:AB67" si="10">IFERROR(X4+Y4,"")</f>
        <v/>
      </c>
      <c r="AC4" s="89"/>
      <c r="AD4" s="89"/>
      <c r="AE4" s="157" t="s">
        <v>38</v>
      </c>
      <c r="AF4" s="158"/>
      <c r="AG4" s="161"/>
      <c r="AH4" s="163" t="s">
        <v>39</v>
      </c>
      <c r="AI4" s="164"/>
      <c r="AJ4" s="165"/>
      <c r="AK4" s="150" t="s">
        <v>40</v>
      </c>
      <c r="AL4" s="108"/>
      <c r="AM4" s="89">
        <f>COUNTIF($AP$2:AP4,AO4)</f>
        <v>0</v>
      </c>
      <c r="AN4" s="103">
        <f t="shared" ref="AN4:AN41" si="11">DATE(YEAR(AN3)+1,3,31)</f>
        <v>821</v>
      </c>
      <c r="AO4" s="103">
        <f t="shared" si="1"/>
        <v>4532</v>
      </c>
      <c r="AP4" s="103">
        <f t="shared" si="2"/>
        <v>821</v>
      </c>
      <c r="AQ4" s="104">
        <v>3</v>
      </c>
      <c r="AR4" s="104">
        <f t="shared" si="3"/>
        <v>3</v>
      </c>
      <c r="AS4" s="103">
        <f t="shared" si="4"/>
        <v>821</v>
      </c>
      <c r="AT4" s="89"/>
      <c r="AU4" s="89"/>
      <c r="AV4" s="28" t="s">
        <v>34</v>
      </c>
      <c r="AW4" s="109"/>
      <c r="AX4" s="109"/>
      <c r="AY4" s="109"/>
      <c r="AZ4" s="109"/>
      <c r="BA4" s="109"/>
      <c r="BB4" s="89"/>
      <c r="BC4" s="89">
        <v>1124</v>
      </c>
      <c r="BD4" s="105" t="s">
        <v>65</v>
      </c>
    </row>
    <row r="5" spans="1:56" ht="15" thickBot="1" x14ac:dyDescent="0.35">
      <c r="B5" s="153" t="str">
        <f>IFERROR(VLOOKUP(B2,BC:BD,2,FALSE),"")</f>
        <v/>
      </c>
      <c r="C5" s="154"/>
      <c r="D5" s="154"/>
      <c r="E5" s="155"/>
      <c r="F5" s="89"/>
      <c r="G5" s="89"/>
      <c r="H5" s="93" t="str">
        <f>IFERROR(LOOKUP(W5,$B$21:$C$33,$G$21:$G$33),"")</f>
        <v/>
      </c>
      <c r="I5" s="89" t="str">
        <f t="shared" si="5"/>
        <v/>
      </c>
      <c r="J5" s="24" t="e">
        <f>IF(I5=TRUE,"",LOOKUP(W5,$B$21:$C$33,$E$21:$E$33))</f>
        <v>#N/A</v>
      </c>
      <c r="K5" s="89" t="str">
        <f>IF(H5="","",IFERROR(LOOKUP(W5,$B$37:$C$46,$D$37:$D$46),0))</f>
        <v/>
      </c>
      <c r="L5" s="89" t="str">
        <f>IF(H5="","",COUNT($M$3:M5))</f>
        <v/>
      </c>
      <c r="M5" s="89" t="str">
        <f>IF(H5="","",IF(K5=K4,0,LOOKUP(W5,$B$37:$C$46,$D$37:$D$46)))</f>
        <v/>
      </c>
      <c r="N5" s="24" t="e">
        <f>IF(M5=0,"",VLOOKUP(W5,$B$35:$E$46,4,FALSE))</f>
        <v>#N/A</v>
      </c>
      <c r="O5" s="24" t="str">
        <f>IF(H5="","",IF(I5=TRUE,"",COUNTIF($I$2:I5,FALSE)+1))</f>
        <v/>
      </c>
      <c r="P5" s="89"/>
      <c r="Q5" s="87">
        <v>4</v>
      </c>
      <c r="R5" s="89">
        <f t="shared" si="6"/>
        <v>2</v>
      </c>
      <c r="S5" s="25" t="str">
        <f t="shared" si="0"/>
        <v>Year 2</v>
      </c>
      <c r="T5" s="89" t="str">
        <f>IF(Q5&lt;=$D$12,Q5,"")</f>
        <v/>
      </c>
      <c r="U5" s="89" t="str">
        <f t="shared" si="7"/>
        <v/>
      </c>
      <c r="V5" s="18" t="str">
        <f>IF(T5&lt;=$D$12,"Month "&amp;T5,"")</f>
        <v xml:space="preserve">Month </v>
      </c>
      <c r="W5" s="96">
        <f t="shared" si="8"/>
        <v>119</v>
      </c>
      <c r="X5" s="89" t="str">
        <f>IFERROR(IF(I5=TRUE,ROUND(U5*H5,2)*(W5-W4),ROUND(U5*H4,2)*(LOOKUP(W4,$B$21:$C$33,$C$21:$C$33)-W4)+ROUND(U5*H5,2)*(W5-LOOKUP(W4,$B$21:$C$33,$C$21:$C$33))),"")</f>
        <v/>
      </c>
      <c r="Y5" s="89" t="str">
        <f>IFERROR(IF(U5&lt;Z4,U5,IF(T5=$D$12,U5,Z5-X5+M5)),"")</f>
        <v/>
      </c>
      <c r="Z5" s="89" t="str">
        <f>IF(U5="","",IF(AND(I5=FALSE,J5="No"),Z4,IF(AND(M4&lt;&gt;0,N4="Yes"),ROUND(-PMT(LOOKUP(W4,'Interest Rates'!$A$5:$A$302,'Interest Rates'!$D$5:$D$302)/12,($D$12-T5+1),U5),0),IF(I5=TRUE,Z4,ROUND(-PMT(VLOOKUP(O5,$A$14:$D$28,4,FALSE)/12,($D$12-T5+1),U5),0)))))</f>
        <v/>
      </c>
      <c r="AA5" s="89" t="str">
        <f t="shared" si="9"/>
        <v/>
      </c>
      <c r="AB5" s="89" t="str">
        <f t="shared" si="10"/>
        <v/>
      </c>
      <c r="AC5" s="89"/>
      <c r="AD5" s="89"/>
      <c r="AE5" s="159"/>
      <c r="AF5" s="160"/>
      <c r="AG5" s="162"/>
      <c r="AH5" s="110" t="s">
        <v>12</v>
      </c>
      <c r="AI5" s="111" t="s">
        <v>41</v>
      </c>
      <c r="AJ5" s="112"/>
      <c r="AK5" s="151"/>
      <c r="AL5" s="108"/>
      <c r="AM5" s="89">
        <f>COUNTIF($AP$2:AP5,AO5)</f>
        <v>0</v>
      </c>
      <c r="AN5" s="103">
        <f t="shared" si="11"/>
        <v>1186</v>
      </c>
      <c r="AO5" s="103">
        <f t="shared" si="1"/>
        <v>4532</v>
      </c>
      <c r="AP5" s="103">
        <f t="shared" si="2"/>
        <v>1186</v>
      </c>
      <c r="AQ5" s="104">
        <v>4</v>
      </c>
      <c r="AR5" s="104">
        <f t="shared" si="3"/>
        <v>4</v>
      </c>
      <c r="AS5" s="103">
        <f t="shared" si="4"/>
        <v>1186</v>
      </c>
      <c r="AT5" s="89"/>
      <c r="AU5" s="89"/>
      <c r="AV5" s="106" t="s">
        <v>35</v>
      </c>
      <c r="AW5" s="109"/>
      <c r="AX5" s="109"/>
      <c r="AY5" s="109"/>
      <c r="AZ5" s="109"/>
      <c r="BA5" s="109"/>
      <c r="BB5" s="89"/>
      <c r="BC5" s="89">
        <v>1127</v>
      </c>
      <c r="BD5" s="105" t="s">
        <v>248</v>
      </c>
    </row>
    <row r="6" spans="1:56" ht="15" thickBot="1" x14ac:dyDescent="0.35">
      <c r="B6" s="89"/>
      <c r="C6" s="89"/>
      <c r="D6" s="89"/>
      <c r="E6" s="89"/>
      <c r="F6" s="89"/>
      <c r="G6" s="89"/>
      <c r="H6" s="93" t="str">
        <f>IFERROR(LOOKUP(W6,$B$21:$C$33,$G$21:$G$33),"")</f>
        <v/>
      </c>
      <c r="I6" s="89" t="str">
        <f t="shared" si="5"/>
        <v/>
      </c>
      <c r="J6" s="24" t="e">
        <f>IF(I6=TRUE,"",LOOKUP(W6,$B$21:$C$33,$E$21:$E$33))</f>
        <v>#N/A</v>
      </c>
      <c r="K6" s="89" t="str">
        <f>IF(H6="","",IFERROR(LOOKUP(W6,$B$37:$C$46,$D$37:$D$46),0))</f>
        <v/>
      </c>
      <c r="L6" s="89" t="str">
        <f>IF(H6="","",COUNT($M$3:M6))</f>
        <v/>
      </c>
      <c r="M6" s="89" t="str">
        <f>IF(H6="","",IF(K6=K5,0,LOOKUP(W6,$B$37:$C$46,$D$37:$D$46)))</f>
        <v/>
      </c>
      <c r="N6" s="24" t="e">
        <f>IF(M6=0,"",VLOOKUP(W6,$B$35:$E$46,4,FALSE))</f>
        <v>#N/A</v>
      </c>
      <c r="O6" s="24" t="str">
        <f>IF(H6="","",IF(I6=TRUE,"",COUNTIF($I$2:I6,FALSE)+1))</f>
        <v/>
      </c>
      <c r="P6" s="89"/>
      <c r="Q6" s="24">
        <v>5</v>
      </c>
      <c r="R6" s="89">
        <f t="shared" si="6"/>
        <v>2</v>
      </c>
      <c r="S6" s="25" t="str">
        <f t="shared" si="0"/>
        <v>Year 2</v>
      </c>
      <c r="T6" s="89" t="str">
        <f>IF(Q6&lt;=$D$12,Q6,"")</f>
        <v/>
      </c>
      <c r="U6" s="89" t="str">
        <f t="shared" si="7"/>
        <v/>
      </c>
      <c r="V6" s="18" t="str">
        <f>IF(T6&lt;=$D$12,"Month "&amp;T6,"")</f>
        <v xml:space="preserve">Month </v>
      </c>
      <c r="W6" s="96">
        <f t="shared" si="8"/>
        <v>149</v>
      </c>
      <c r="X6" s="89" t="str">
        <f>IFERROR(IF(I6=TRUE,ROUND(U6*H6,2)*(W6-W5),ROUND(U6*H5,2)*(LOOKUP(W5,$B$21:$C$33,$C$21:$C$33)-W5)+ROUND(U6*H6,2)*(W6-LOOKUP(W5,$B$21:$C$33,$C$21:$C$33))),"")</f>
        <v/>
      </c>
      <c r="Y6" s="89" t="str">
        <f>IFERROR(IF(U6&lt;Z5,U6,IF(T6=$D$12,U6,Z6-X6+M6)),"")</f>
        <v/>
      </c>
      <c r="Z6" s="89" t="str">
        <f>IF(U6="","",IF(AND(I6=FALSE,J6="No"),Z5,IF(AND(M5&lt;&gt;0,N5="Yes"),ROUND(-PMT(LOOKUP(W5,'Interest Rates'!$A$5:$A$302,'Interest Rates'!$D$5:$D$302)/12,($D$12-T6+1),U6),0),IF(I6=TRUE,Z5,ROUND(-PMT(VLOOKUP(O6,$A$14:$D$28,4,FALSE)/12,($D$12-T6+1),U6),0)))))</f>
        <v/>
      </c>
      <c r="AA6" s="89" t="str">
        <f t="shared" si="9"/>
        <v/>
      </c>
      <c r="AB6" s="89" t="str">
        <f t="shared" si="10"/>
        <v/>
      </c>
      <c r="AC6" s="89"/>
      <c r="AD6" s="89"/>
      <c r="AE6" s="113"/>
      <c r="AF6" s="114"/>
      <c r="AG6" s="115"/>
      <c r="AH6" s="116" t="str">
        <f t="shared" ref="AH6:AH22" si="12">IF(AE6="","",SUMIF(S:S,AE6,X:X))</f>
        <v/>
      </c>
      <c r="AI6" s="117"/>
      <c r="AJ6" s="118"/>
      <c r="AK6" s="119"/>
      <c r="AL6" s="120"/>
      <c r="AM6" s="89">
        <f>COUNTIF($AP$2:AP6,AO6)</f>
        <v>0</v>
      </c>
      <c r="AN6" s="103">
        <f t="shared" si="11"/>
        <v>1552</v>
      </c>
      <c r="AO6" s="103">
        <f t="shared" si="1"/>
        <v>4532</v>
      </c>
      <c r="AP6" s="103">
        <f t="shared" si="2"/>
        <v>1552</v>
      </c>
      <c r="AQ6" s="104">
        <v>5</v>
      </c>
      <c r="AR6" s="104">
        <f t="shared" si="3"/>
        <v>5</v>
      </c>
      <c r="AS6" s="103">
        <f t="shared" si="4"/>
        <v>1552</v>
      </c>
      <c r="AT6" s="89"/>
      <c r="AU6" s="89"/>
      <c r="AV6" s="28" t="s">
        <v>36</v>
      </c>
      <c r="AW6" s="109"/>
      <c r="AX6" s="109"/>
      <c r="AY6" s="109"/>
      <c r="AZ6" s="109"/>
      <c r="BA6" s="109"/>
      <c r="BB6" s="89"/>
      <c r="BC6" s="89">
        <v>1128</v>
      </c>
      <c r="BD6" s="105" t="s">
        <v>66</v>
      </c>
    </row>
    <row r="7" spans="1:56" ht="15" thickBot="1" x14ac:dyDescent="0.35">
      <c r="B7" s="89" t="s">
        <v>375</v>
      </c>
      <c r="C7" s="89"/>
      <c r="D7" s="89"/>
      <c r="E7" s="146"/>
      <c r="F7" s="89"/>
      <c r="G7" s="89"/>
      <c r="H7" s="93" t="str">
        <f>IFERROR(LOOKUP(W7,$B$21:$C$33,$G$21:$G$33),"")</f>
        <v/>
      </c>
      <c r="I7" s="89" t="str">
        <f t="shared" si="5"/>
        <v/>
      </c>
      <c r="J7" s="24" t="e">
        <f>IF(I7=TRUE,"",LOOKUP(W7,$B$21:$C$33,$E$21:$E$33))</f>
        <v>#N/A</v>
      </c>
      <c r="K7" s="89" t="str">
        <f>IF(H7="","",IFERROR(LOOKUP(W7,$B$37:$C$46,$D$37:$D$46),0))</f>
        <v/>
      </c>
      <c r="L7" s="89" t="str">
        <f>IF(H7="","",COUNT($M$3:M7))</f>
        <v/>
      </c>
      <c r="M7" s="89" t="str">
        <f>IF(H7="","",IF(K7=K6,0,LOOKUP(W7,$B$37:$C$46,$D$37:$D$46)))</f>
        <v/>
      </c>
      <c r="N7" s="24" t="e">
        <f>IF(M7=0,"",VLOOKUP(W7,$B$35:$E$46,4,FALSE))</f>
        <v>#N/A</v>
      </c>
      <c r="O7" s="24" t="str">
        <f>IF(H7="","",IF(I7=TRUE,"",COUNTIF($I$2:I7,FALSE)+1))</f>
        <v/>
      </c>
      <c r="P7" s="89"/>
      <c r="Q7" s="87">
        <v>6</v>
      </c>
      <c r="R7" s="89">
        <f t="shared" si="6"/>
        <v>2</v>
      </c>
      <c r="S7" s="25" t="str">
        <f t="shared" si="0"/>
        <v>Year 2</v>
      </c>
      <c r="T7" s="89" t="str">
        <f>IF(Q7&lt;=$D$12,Q7,"")</f>
        <v/>
      </c>
      <c r="U7" s="89" t="str">
        <f t="shared" si="7"/>
        <v/>
      </c>
      <c r="V7" s="18" t="str">
        <f>IF(T7&lt;=$D$12,"Month "&amp;T7,"")</f>
        <v xml:space="preserve">Month </v>
      </c>
      <c r="W7" s="96">
        <f t="shared" si="8"/>
        <v>180</v>
      </c>
      <c r="X7" s="89" t="str">
        <f>IFERROR(IF(I7=TRUE,ROUND(U7*H7,2)*(W7-W6),ROUND(U7*H6,2)*(LOOKUP(W6,$B$21:$C$33,$C$21:$C$33)-W6)+ROUND(U7*H7,2)*(W7-LOOKUP(W6,$B$21:$C$33,$C$21:$C$33))),"")</f>
        <v/>
      </c>
      <c r="Y7" s="89" t="str">
        <f>IFERROR(IF(U7&lt;Z6,U7,IF(T7=$D$12,U7,Z7-X7+M7)),"")</f>
        <v/>
      </c>
      <c r="Z7" s="89" t="str">
        <f>IF(U7="","",IF(AND(I7=FALSE,J7="No"),Z6,IF(AND(M6&lt;&gt;0,N6="Yes"),ROUND(-PMT(LOOKUP(W6,'Interest Rates'!$A$5:$A$302,'Interest Rates'!$D$5:$D$302)/12,($D$12-T7+1),U7),0),IF(I7=TRUE,Z6,ROUND(-PMT(VLOOKUP(O7,$A$14:$D$28,4,FALSE)/12,($D$12-T7+1),U7),0)))))</f>
        <v/>
      </c>
      <c r="AA7" s="89" t="str">
        <f t="shared" si="9"/>
        <v/>
      </c>
      <c r="AB7" s="89" t="str">
        <f t="shared" si="10"/>
        <v/>
      </c>
      <c r="AC7" s="89"/>
      <c r="AD7" s="86" t="str">
        <f>IF(D11="","",IF(MONTH(D11)=3,0,1))</f>
        <v/>
      </c>
      <c r="AE7" s="121" t="str">
        <f>IF(D12="","",IF(AD7=0,"Year 1",IF(COUNTIF(R:R,AD7)&gt;0,"Year "&amp;AD7,"")))</f>
        <v/>
      </c>
      <c r="AF7" s="29" t="str">
        <f>IF(D12="","",IF(MONTH(D11)&lt;4,YEAR($D$11)-1&amp;"/"&amp;RIGHT(YEAR($D$11),2),YEAR($D$11)&amp;"/"&amp;RIGHT(YEAR($D$11)+AD7,2)))</f>
        <v/>
      </c>
      <c r="AG7" s="122">
        <f>D10</f>
        <v>0</v>
      </c>
      <c r="AH7" s="116" t="str">
        <f>IF(AE7="","",IF($AD$7=0,0,SUMIF(S:S,AE7,X:X)))</f>
        <v/>
      </c>
      <c r="AI7" s="123" t="str">
        <f>IF(AE7="","",IF(AD7=0,0,SUMIF(S:S,AE7,Y:Y)))</f>
        <v/>
      </c>
      <c r="AJ7" s="116" t="str">
        <f t="shared" ref="AJ7:AJ22" si="13">IFERROR(AH7+AI7,"")</f>
        <v/>
      </c>
      <c r="AK7" s="124" t="str">
        <f t="shared" ref="AK7:AK21" si="14">IF(AE7="","",COUNTIF(R:R,AD7))</f>
        <v/>
      </c>
      <c r="AL7" s="120"/>
      <c r="AM7" s="89">
        <f>COUNTIF($AP$2:AP7,AO7)</f>
        <v>0</v>
      </c>
      <c r="AN7" s="103">
        <f t="shared" si="11"/>
        <v>1917</v>
      </c>
      <c r="AO7" s="103">
        <f t="shared" si="1"/>
        <v>4532</v>
      </c>
      <c r="AP7" s="103">
        <f t="shared" si="2"/>
        <v>1917</v>
      </c>
      <c r="AQ7" s="104">
        <v>6</v>
      </c>
      <c r="AR7" s="104">
        <f t="shared" si="3"/>
        <v>6</v>
      </c>
      <c r="AS7" s="103">
        <f t="shared" si="4"/>
        <v>1917</v>
      </c>
      <c r="AT7" s="18"/>
      <c r="AU7" s="18"/>
      <c r="AV7" s="125"/>
      <c r="AW7" s="126"/>
      <c r="AX7" s="126"/>
      <c r="AY7" s="126"/>
      <c r="AZ7" s="126"/>
      <c r="BA7" s="126"/>
      <c r="BB7" s="89"/>
      <c r="BC7" s="89">
        <v>1129</v>
      </c>
      <c r="BD7" s="105" t="s">
        <v>67</v>
      </c>
    </row>
    <row r="8" spans="1:56" x14ac:dyDescent="0.3">
      <c r="B8" s="167" t="s">
        <v>379</v>
      </c>
      <c r="C8" s="89"/>
      <c r="D8" s="89"/>
      <c r="E8" s="166"/>
      <c r="F8" s="89"/>
      <c r="G8" s="89"/>
      <c r="H8" s="93" t="str">
        <f>IFERROR(LOOKUP(W8,$B$21:$C$33,$G$21:$G$33),"")</f>
        <v/>
      </c>
      <c r="I8" s="89" t="str">
        <f t="shared" si="5"/>
        <v/>
      </c>
      <c r="J8" s="24" t="e">
        <f>IF(I8=TRUE,"",LOOKUP(W8,$B$21:$C$33,$E$21:$E$33))</f>
        <v>#N/A</v>
      </c>
      <c r="K8" s="89" t="str">
        <f>IF(H8="","",IFERROR(LOOKUP(W8,$B$37:$C$46,$D$37:$D$46),0))</f>
        <v/>
      </c>
      <c r="L8" s="89" t="str">
        <f>IF(H8="","",COUNT($M$3:M8))</f>
        <v/>
      </c>
      <c r="M8" s="89" t="str">
        <f>IF(H8="","",IF(K8=K7,0,LOOKUP(W8,$B$37:$C$46,$D$37:$D$46)))</f>
        <v/>
      </c>
      <c r="N8" s="24" t="e">
        <f>IF(M8=0,"",VLOOKUP(W8,$B$35:$E$46,4,FALSE))</f>
        <v>#N/A</v>
      </c>
      <c r="O8" s="24" t="str">
        <f>IF(H8="","",IF(I8=TRUE,"",COUNTIF($I$2:I8,FALSE)+1))</f>
        <v/>
      </c>
      <c r="P8" s="89"/>
      <c r="Q8" s="24">
        <v>7</v>
      </c>
      <c r="R8" s="89">
        <f t="shared" si="6"/>
        <v>2</v>
      </c>
      <c r="S8" s="25" t="str">
        <f t="shared" si="0"/>
        <v>Year 2</v>
      </c>
      <c r="T8" s="89" t="str">
        <f>IF(Q8&lt;=$D$12,Q8,"")</f>
        <v/>
      </c>
      <c r="U8" s="89" t="str">
        <f t="shared" si="7"/>
        <v/>
      </c>
      <c r="V8" s="18" t="str">
        <f>IF(T8&lt;=$D$12,"Month "&amp;T8,"")</f>
        <v xml:space="preserve">Month </v>
      </c>
      <c r="W8" s="96">
        <f t="shared" si="8"/>
        <v>210</v>
      </c>
      <c r="X8" s="89" t="str">
        <f>IFERROR(IF(I8=TRUE,ROUND(U8*H8,2)*(W8-W7),ROUND(U8*H7,2)*(LOOKUP(W7,$B$21:$C$33,$C$21:$C$33)-W7)+ROUND(U8*H8,2)*(W8-LOOKUP(W7,$B$21:$C$33,$C$21:$C$33))),"")</f>
        <v/>
      </c>
      <c r="Y8" s="89" t="str">
        <f>IFERROR(IF(U8&lt;Z7,U8,IF(T8=$D$12,U8,Z8-X8+M8)),"")</f>
        <v/>
      </c>
      <c r="Z8" s="89" t="str">
        <f>IF(U8="","",IF(AND(I8=FALSE,J8="No"),Z7,IF(AND(M7&lt;&gt;0,N7="Yes"),ROUND(-PMT(LOOKUP(W7,'Interest Rates'!$A$5:$A$302,'Interest Rates'!$D$5:$D$302)/12,($D$12-T8+1),U8),0),IF(I8=TRUE,Z7,ROUND(-PMT(VLOOKUP(O8,$A$14:$D$28,4,FALSE)/12,($D$12-T8+1),U8),0)))))</f>
        <v/>
      </c>
      <c r="AA8" s="89" t="str">
        <f t="shared" si="9"/>
        <v/>
      </c>
      <c r="AB8" s="89" t="str">
        <f t="shared" si="10"/>
        <v/>
      </c>
      <c r="AC8" s="89"/>
      <c r="AD8" s="86" t="e">
        <f>AD7+1</f>
        <v>#VALUE!</v>
      </c>
      <c r="AE8" s="121" t="str">
        <f>IF(D12="","",IF(AND($AD$7=0,COUNTIF(R:R,AD8)&gt;0),"Year "&amp;AD8+1,IF(COUNTIF(R:R,AD8)&gt;0,"Year "&amp;AD8,"")))</f>
        <v/>
      </c>
      <c r="AF8" s="29" t="str">
        <f>IF(AE8="","",LEFT(AF7,4)+1&amp;"/"&amp;RIGHT(AF7,2)+1)</f>
        <v/>
      </c>
      <c r="AG8" s="122" t="str">
        <f t="shared" ref="AG8:AG22" si="15">IF(AE8&lt;&gt;"",0,"")</f>
        <v/>
      </c>
      <c r="AH8" s="116" t="str">
        <f>IF(AE8="","",IF($AD$7=0,SUMIF(S:S,AE7,X:X),SUMIF(S:S,AE8,X:X)))</f>
        <v/>
      </c>
      <c r="AI8" s="123" t="str">
        <f>IF(AE8="","",IF($AD$7=0,SUMIF(S:S,AE7,Y:Y),SUMIF(S:S,AE8,Y:Y)))</f>
        <v/>
      </c>
      <c r="AJ8" s="116" t="str">
        <f t="shared" si="13"/>
        <v/>
      </c>
      <c r="AK8" s="124" t="str">
        <f t="shared" si="14"/>
        <v/>
      </c>
      <c r="AL8" s="120"/>
      <c r="AM8" s="89">
        <f>COUNTIF($AP$2:AP8,AO8)</f>
        <v>0</v>
      </c>
      <c r="AN8" s="103">
        <f t="shared" si="11"/>
        <v>2282</v>
      </c>
      <c r="AO8" s="103">
        <f t="shared" si="1"/>
        <v>4532</v>
      </c>
      <c r="AP8" s="103">
        <f t="shared" si="2"/>
        <v>2282</v>
      </c>
      <c r="AQ8" s="104">
        <v>7</v>
      </c>
      <c r="AR8" s="104">
        <f t="shared" si="3"/>
        <v>7</v>
      </c>
      <c r="AS8" s="103">
        <f t="shared" si="4"/>
        <v>2282</v>
      </c>
      <c r="AT8" s="89"/>
      <c r="AU8" s="89"/>
      <c r="AV8" s="30" t="s">
        <v>37</v>
      </c>
      <c r="AW8" s="31"/>
      <c r="AX8" s="31"/>
      <c r="AY8" s="31"/>
      <c r="AZ8" s="31"/>
      <c r="BA8" s="128"/>
      <c r="BB8" s="89"/>
      <c r="BC8" s="89">
        <v>2000</v>
      </c>
      <c r="BD8" s="105" t="s">
        <v>68</v>
      </c>
    </row>
    <row r="9" spans="1:56" ht="15" thickBot="1" x14ac:dyDescent="0.35">
      <c r="B9" s="89"/>
      <c r="C9" s="89"/>
      <c r="D9" s="89"/>
      <c r="E9" s="89"/>
      <c r="F9" s="89"/>
      <c r="G9" s="89"/>
      <c r="H9" s="93" t="str">
        <f>IFERROR(LOOKUP(W9,$B$21:$C$33,$G$21:$G$33),"")</f>
        <v/>
      </c>
      <c r="I9" s="89" t="str">
        <f t="shared" si="5"/>
        <v/>
      </c>
      <c r="J9" s="24" t="e">
        <f>IF(I9=TRUE,"",LOOKUP(W9,$B$21:$C$33,$E$21:$E$33))</f>
        <v>#N/A</v>
      </c>
      <c r="K9" s="89" t="str">
        <f>IF(H9="","",IFERROR(LOOKUP(W9,$B$37:$C$46,$D$37:$D$46),0))</f>
        <v/>
      </c>
      <c r="L9" s="89" t="str">
        <f>IF(H9="","",COUNT($M$3:M9))</f>
        <v/>
      </c>
      <c r="M9" s="89" t="str">
        <f>IF(H9="","",IF(K9=K8,0,LOOKUP(W9,$B$37:$C$46,$D$37:$D$46)))</f>
        <v/>
      </c>
      <c r="N9" s="24" t="e">
        <f>IF(M9=0,"",VLOOKUP(W9,$B$35:$E$46,4,FALSE))</f>
        <v>#N/A</v>
      </c>
      <c r="O9" s="24" t="str">
        <f>IF(H9="","",IF(I9=TRUE,"",COUNTIF($I$2:I9,FALSE)+1))</f>
        <v/>
      </c>
      <c r="P9" s="89"/>
      <c r="Q9" s="87">
        <v>8</v>
      </c>
      <c r="R9" s="89">
        <f t="shared" si="6"/>
        <v>2</v>
      </c>
      <c r="S9" s="25" t="str">
        <f t="shared" si="0"/>
        <v>Year 2</v>
      </c>
      <c r="T9" s="89" t="str">
        <f>IF(Q9&lt;=$D$12,Q9,"")</f>
        <v/>
      </c>
      <c r="U9" s="89" t="str">
        <f t="shared" si="7"/>
        <v/>
      </c>
      <c r="V9" s="18" t="str">
        <f>IF(T9&lt;=$D$12,"Month "&amp;T9,"")</f>
        <v xml:space="preserve">Month </v>
      </c>
      <c r="W9" s="96">
        <f t="shared" si="8"/>
        <v>241</v>
      </c>
      <c r="X9" s="89" t="str">
        <f>IFERROR(IF(I9=TRUE,ROUND(U9*H9,2)*(W9-W8),ROUND(U9*H8,2)*(LOOKUP(W8,$B$21:$C$33,$C$21:$C$33)-W8)+ROUND(U9*H9,2)*(W9-LOOKUP(W8,$B$21:$C$33,$C$21:$C$33))),"")</f>
        <v/>
      </c>
      <c r="Y9" s="89" t="str">
        <f>IFERROR(IF(U9&lt;Z8,U9,IF(T9=$D$12,U9,Z9-X9+M9)),"")</f>
        <v/>
      </c>
      <c r="Z9" s="89" t="str">
        <f>IF(U9="","",IF(AND(I9=FALSE,J9="No"),Z8,IF(AND(M8&lt;&gt;0,N8="Yes"),ROUND(-PMT(LOOKUP(W8,'Interest Rates'!$A$5:$A$302,'Interest Rates'!$D$5:$D$302)/12,($D$12-T9+1),U9),0),IF(I9=TRUE,Z8,ROUND(-PMT(VLOOKUP(O9,$A$14:$D$28,4,FALSE)/12,($D$12-T9+1),U9),0)))))</f>
        <v/>
      </c>
      <c r="AA9" s="89" t="str">
        <f t="shared" si="9"/>
        <v/>
      </c>
      <c r="AB9" s="89" t="str">
        <f t="shared" si="10"/>
        <v/>
      </c>
      <c r="AC9" s="89"/>
      <c r="AD9" s="86" t="e">
        <f t="shared" ref="AD9:AD21" si="16">AD8+1</f>
        <v>#VALUE!</v>
      </c>
      <c r="AE9" s="121" t="str">
        <f>IF($D$12="","",IF(AND($AD$7=0,COUNTIF(R:R,AD9)&gt;0),"Year "&amp;AD9+1,IF(COUNTIF(R:R,AD9)&gt;0,"Year "&amp;AD9,"")))</f>
        <v/>
      </c>
      <c r="AF9" s="29" t="str">
        <f t="shared" ref="AF9:AF21" si="17">IF(AE9="","",LEFT(AF8,4)+1&amp;"/"&amp;RIGHT(AF8,2)+1)</f>
        <v/>
      </c>
      <c r="AG9" s="122" t="str">
        <f t="shared" si="15"/>
        <v/>
      </c>
      <c r="AH9" s="116" t="str">
        <f t="shared" ref="AH9:AH21" si="18">IF(AE9="","",IF($AD$7=0,SUMIF(S:S,AE8,X:X),SUMIF(S:S,AE9,X:X)))</f>
        <v/>
      </c>
      <c r="AI9" s="123" t="str">
        <f t="shared" ref="AI9:AI21" si="19">IF(AE9="","",IF($AD$7=0,SUMIF(S:S,AE8,Y:Y),SUMIF(S:S,AE9,Y:Y)))</f>
        <v/>
      </c>
      <c r="AJ9" s="116" t="str">
        <f t="shared" si="13"/>
        <v/>
      </c>
      <c r="AK9" s="34" t="str">
        <f t="shared" si="14"/>
        <v/>
      </c>
      <c r="AL9" s="30"/>
      <c r="AM9" s="89">
        <f>COUNTIF($AP$2:AP9,AO9)</f>
        <v>0</v>
      </c>
      <c r="AN9" s="103">
        <f t="shared" si="11"/>
        <v>2647</v>
      </c>
      <c r="AO9" s="103">
        <f t="shared" si="1"/>
        <v>4532</v>
      </c>
      <c r="AP9" s="103">
        <f t="shared" si="2"/>
        <v>2647</v>
      </c>
      <c r="AQ9" s="104">
        <v>8</v>
      </c>
      <c r="AR9" s="104">
        <f t="shared" si="3"/>
        <v>8</v>
      </c>
      <c r="AS9" s="103">
        <f t="shared" si="4"/>
        <v>2647</v>
      </c>
      <c r="AT9" s="89"/>
      <c r="AU9" s="89"/>
      <c r="AV9" s="30"/>
      <c r="AW9" s="31"/>
      <c r="AX9" s="31"/>
      <c r="AY9" s="31"/>
      <c r="AZ9" s="31"/>
      <c r="BA9" s="128"/>
      <c r="BB9" s="89"/>
      <c r="BC9" s="89">
        <v>2002</v>
      </c>
      <c r="BD9" s="105" t="s">
        <v>69</v>
      </c>
    </row>
    <row r="10" spans="1:56" ht="15" thickBot="1" x14ac:dyDescent="0.35">
      <c r="B10" s="18" t="s">
        <v>56</v>
      </c>
      <c r="C10" s="18" t="s">
        <v>57</v>
      </c>
      <c r="D10" s="127"/>
      <c r="E10" s="89"/>
      <c r="F10" s="89"/>
      <c r="G10" s="89"/>
      <c r="H10" s="93" t="str">
        <f>IFERROR(LOOKUP(W10,$B$21:$C$33,$G$21:$G$33),"")</f>
        <v/>
      </c>
      <c r="I10" s="89" t="str">
        <f t="shared" si="5"/>
        <v/>
      </c>
      <c r="J10" s="24" t="e">
        <f>IF(I10=TRUE,"",LOOKUP(W10,$B$21:$C$33,$E$21:$E$33))</f>
        <v>#N/A</v>
      </c>
      <c r="K10" s="89" t="str">
        <f>IF(H10="","",IFERROR(LOOKUP(W10,$B$37:$C$46,$D$37:$D$46),0))</f>
        <v/>
      </c>
      <c r="L10" s="89" t="str">
        <f>IF(H10="","",COUNT($M$3:M10))</f>
        <v/>
      </c>
      <c r="M10" s="89" t="str">
        <f>IF(H10="","",IF(K10=K9,0,LOOKUP(W10,$B$37:$C$46,$D$37:$D$46)))</f>
        <v/>
      </c>
      <c r="N10" s="24" t="e">
        <f>IF(M10=0,"",VLOOKUP(W10,$B$35:$E$46,4,FALSE))</f>
        <v>#N/A</v>
      </c>
      <c r="O10" s="24" t="str">
        <f>IF(H10="","",IF(I10=TRUE,"",COUNTIF($I$2:I10,FALSE)+1))</f>
        <v/>
      </c>
      <c r="P10" s="89"/>
      <c r="Q10" s="24">
        <v>9</v>
      </c>
      <c r="R10" s="89">
        <f t="shared" si="6"/>
        <v>2</v>
      </c>
      <c r="S10" s="25" t="str">
        <f t="shared" si="0"/>
        <v>Year 2</v>
      </c>
      <c r="T10" s="89" t="str">
        <f>IF(Q10&lt;=$D$12,Q10,"")</f>
        <v/>
      </c>
      <c r="U10" s="89" t="str">
        <f t="shared" si="7"/>
        <v/>
      </c>
      <c r="V10" s="18" t="str">
        <f>IF(T10&lt;=$D$12,"Month "&amp;T10,"")</f>
        <v xml:space="preserve">Month </v>
      </c>
      <c r="W10" s="96">
        <f t="shared" si="8"/>
        <v>272</v>
      </c>
      <c r="X10" s="89" t="str">
        <f>IFERROR(IF(I10=TRUE,ROUND(U10*H10,2)*(W10-W9),ROUND(U10*H9,2)*(LOOKUP(W9,$B$21:$C$33,$C$21:$C$33)-W9)+ROUND(U10*H10,2)*(W10-LOOKUP(W9,$B$21:$C$33,$C$21:$C$33))),"")</f>
        <v/>
      </c>
      <c r="Y10" s="89" t="str">
        <f>IFERROR(IF(U10&lt;Z9,U10,IF(T10=$D$12,U10,Z10-X10+M10)),"")</f>
        <v/>
      </c>
      <c r="Z10" s="89" t="str">
        <f>IF(U10="","",IF(AND(I10=FALSE,J10="No"),Z9,IF(AND(M9&lt;&gt;0,N9="Yes"),ROUND(-PMT(LOOKUP(W9,'Interest Rates'!$A$5:$A$302,'Interest Rates'!$D$5:$D$302)/12,($D$12-T10+1),U10),0),IF(I10=TRUE,Z9,ROUND(-PMT(VLOOKUP(O10,$A$14:$D$28,4,FALSE)/12,($D$12-T10+1),U10),0)))))</f>
        <v/>
      </c>
      <c r="AA10" s="89" t="str">
        <f t="shared" si="9"/>
        <v/>
      </c>
      <c r="AB10" s="89" t="str">
        <f t="shared" si="10"/>
        <v/>
      </c>
      <c r="AC10" s="89"/>
      <c r="AD10" s="86" t="e">
        <f t="shared" si="16"/>
        <v>#VALUE!</v>
      </c>
      <c r="AE10" s="121" t="str">
        <f>IF($D$12="","",IF(AND($AD$7=0,COUNTIF(R:R,AD10)&gt;0),"Year "&amp;AD10+1,IF(COUNTIF(R:R,AD10)&gt;0,"Year "&amp;AD10,"")))</f>
        <v/>
      </c>
      <c r="AF10" s="29" t="str">
        <f t="shared" si="17"/>
        <v/>
      </c>
      <c r="AG10" s="122" t="str">
        <f t="shared" si="15"/>
        <v/>
      </c>
      <c r="AH10" s="116" t="str">
        <f t="shared" si="18"/>
        <v/>
      </c>
      <c r="AI10" s="123" t="str">
        <f t="shared" si="19"/>
        <v/>
      </c>
      <c r="AJ10" s="116" t="str">
        <f t="shared" si="13"/>
        <v/>
      </c>
      <c r="AK10" s="124" t="str">
        <f t="shared" si="14"/>
        <v/>
      </c>
      <c r="AL10" s="120"/>
      <c r="AM10" s="89">
        <f>COUNTIF($AP$2:AP10,AO10)</f>
        <v>0</v>
      </c>
      <c r="AN10" s="103">
        <f t="shared" si="11"/>
        <v>3013</v>
      </c>
      <c r="AO10" s="103">
        <f t="shared" si="1"/>
        <v>4532</v>
      </c>
      <c r="AP10" s="103">
        <f t="shared" si="2"/>
        <v>3013</v>
      </c>
      <c r="AQ10" s="104">
        <v>9</v>
      </c>
      <c r="AR10" s="104">
        <f t="shared" si="3"/>
        <v>9</v>
      </c>
      <c r="AS10" s="103">
        <f t="shared" si="4"/>
        <v>3013</v>
      </c>
      <c r="AT10" s="89"/>
      <c r="AU10" s="89"/>
      <c r="AV10" s="130"/>
      <c r="AW10" s="131" t="str">
        <f>IF($D$12="","",IF(AR2="","","Year "&amp;AR2))</f>
        <v/>
      </c>
      <c r="AX10" s="35" t="str">
        <f>IF($D$10="","",VLOOKUP(AR2,AR:AS,2,FALSE))</f>
        <v/>
      </c>
      <c r="AY10" s="36" t="str">
        <f>IF(AW10="","",IF(AX10=MAX(W:W),"Final date",AG7-AI7))</f>
        <v/>
      </c>
      <c r="AZ10" s="37"/>
      <c r="BA10" s="38"/>
      <c r="BB10" s="89"/>
      <c r="BC10" s="89">
        <v>2065</v>
      </c>
      <c r="BD10" s="105" t="s">
        <v>70</v>
      </c>
    </row>
    <row r="11" spans="1:56" ht="15" thickBot="1" x14ac:dyDescent="0.35">
      <c r="B11" s="18" t="s">
        <v>58</v>
      </c>
      <c r="C11" s="32">
        <f>EDATE(D11,D12)</f>
        <v>0</v>
      </c>
      <c r="D11" s="33"/>
      <c r="E11" s="89"/>
      <c r="F11" s="89"/>
      <c r="G11" s="89"/>
      <c r="H11" s="93" t="str">
        <f>IFERROR(LOOKUP(W11,$B$21:$C$33,$G$21:$G$33),"")</f>
        <v/>
      </c>
      <c r="I11" s="89" t="str">
        <f t="shared" si="5"/>
        <v/>
      </c>
      <c r="J11" s="24" t="e">
        <f>IF(I11=TRUE,"",LOOKUP(W11,$B$21:$C$33,$E$21:$E$33))</f>
        <v>#N/A</v>
      </c>
      <c r="K11" s="89" t="str">
        <f>IF(H11="","",IFERROR(LOOKUP(W11,$B$37:$C$46,$D$37:$D$46),0))</f>
        <v/>
      </c>
      <c r="L11" s="89" t="str">
        <f>IF(H11="","",COUNT($M$3:M11))</f>
        <v/>
      </c>
      <c r="M11" s="89" t="str">
        <f>IF(H11="","",IF(K11=K10,0,LOOKUP(W11,$B$37:$C$46,$D$37:$D$46)))</f>
        <v/>
      </c>
      <c r="N11" s="24" t="e">
        <f>IF(M11=0,"",VLOOKUP(W11,$B$35:$E$46,4,FALSE))</f>
        <v>#N/A</v>
      </c>
      <c r="O11" s="24" t="str">
        <f>IF(H11="","",IF(I11=TRUE,"",COUNTIF($I$2:I11,FALSE)+1))</f>
        <v/>
      </c>
      <c r="P11" s="89"/>
      <c r="Q11" s="87">
        <v>10</v>
      </c>
      <c r="R11" s="89">
        <f t="shared" si="6"/>
        <v>2</v>
      </c>
      <c r="S11" s="25" t="str">
        <f t="shared" si="0"/>
        <v>Year 2</v>
      </c>
      <c r="T11" s="89" t="str">
        <f>IF(Q11&lt;=$D$12,Q11,"")</f>
        <v/>
      </c>
      <c r="U11" s="89" t="str">
        <f t="shared" si="7"/>
        <v/>
      </c>
      <c r="V11" s="18" t="str">
        <f>IF(T11&lt;=$D$12,"Month "&amp;T11,"")</f>
        <v xml:space="preserve">Month </v>
      </c>
      <c r="W11" s="96">
        <f t="shared" si="8"/>
        <v>302</v>
      </c>
      <c r="X11" s="89" t="str">
        <f>IFERROR(IF(I11=TRUE,ROUND(U11*H11,2)*(W11-W10),ROUND(U11*H10,2)*(LOOKUP(W10,$B$21:$C$33,$C$21:$C$33)-W10)+ROUND(U11*H11,2)*(W11-LOOKUP(W10,$B$21:$C$33,$C$21:$C$33))),"")</f>
        <v/>
      </c>
      <c r="Y11" s="89" t="str">
        <f>IFERROR(IF(U11&lt;Z10,U11,IF(T11=$D$12,U11,Z11-X11+M11)),"")</f>
        <v/>
      </c>
      <c r="Z11" s="89" t="str">
        <f>IF(U11="","",IF(AND(I11=FALSE,J11="No"),Z10,IF(AND(M10&lt;&gt;0,N10="Yes"),ROUND(-PMT(LOOKUP(W10,'Interest Rates'!$A$5:$A$302,'Interest Rates'!$D$5:$D$302)/12,($D$12-T11+1),U11),0),IF(I11=TRUE,Z10,ROUND(-PMT(VLOOKUP(O11,$A$14:$D$28,4,FALSE)/12,($D$12-T11+1),U11),0)))))</f>
        <v/>
      </c>
      <c r="AA11" s="89" t="str">
        <f t="shared" si="9"/>
        <v/>
      </c>
      <c r="AB11" s="89" t="str">
        <f t="shared" si="10"/>
        <v/>
      </c>
      <c r="AC11" s="89"/>
      <c r="AD11" s="86" t="e">
        <f t="shared" si="16"/>
        <v>#VALUE!</v>
      </c>
      <c r="AE11" s="121" t="str">
        <f>IF($D$12="","",IF(AND($AD$7=0,COUNTIF(R:R,AD11)&gt;0),"Year "&amp;AD11+1,IF(COUNTIF(R:R,AD11)&gt;0,"Year "&amp;AD11,"")))</f>
        <v/>
      </c>
      <c r="AF11" s="29" t="str">
        <f t="shared" si="17"/>
        <v/>
      </c>
      <c r="AG11" s="122" t="str">
        <f t="shared" si="15"/>
        <v/>
      </c>
      <c r="AH11" s="116" t="str">
        <f t="shared" si="18"/>
        <v/>
      </c>
      <c r="AI11" s="123" t="str">
        <f t="shared" si="19"/>
        <v/>
      </c>
      <c r="AJ11" s="116" t="str">
        <f t="shared" si="13"/>
        <v/>
      </c>
      <c r="AK11" s="124" t="str">
        <f t="shared" si="14"/>
        <v/>
      </c>
      <c r="AL11" s="120"/>
      <c r="AM11" s="89">
        <f>COUNTIF($AP$2:AP11,AO11)</f>
        <v>0</v>
      </c>
      <c r="AN11" s="103">
        <f t="shared" si="11"/>
        <v>3378</v>
      </c>
      <c r="AO11" s="103">
        <f t="shared" si="1"/>
        <v>4532</v>
      </c>
      <c r="AP11" s="103">
        <f t="shared" si="2"/>
        <v>3378</v>
      </c>
      <c r="AQ11" s="104">
        <v>10</v>
      </c>
      <c r="AR11" s="104">
        <f t="shared" si="3"/>
        <v>10</v>
      </c>
      <c r="AS11" s="103">
        <f t="shared" si="4"/>
        <v>3378</v>
      </c>
      <c r="AT11" s="89"/>
      <c r="AU11" s="89"/>
      <c r="AV11" s="130"/>
      <c r="AW11" s="131" t="str">
        <f>IF($D$12="","",IF(AR3="","","Year "&amp;AR3))</f>
        <v/>
      </c>
      <c r="AX11" s="35" t="str">
        <f>IF($D$10="","",VLOOKUP(AR3,AR:AS,2,FALSE))</f>
        <v/>
      </c>
      <c r="AY11" s="36" t="str">
        <f>IF(AW11="","",IF(AX11=MAX(W:W),"Final date",AG8+AY10-AI8))</f>
        <v/>
      </c>
      <c r="AZ11" s="37"/>
      <c r="BA11" s="38"/>
      <c r="BB11" s="89"/>
      <c r="BC11" s="89">
        <v>2066</v>
      </c>
      <c r="BD11" s="105" t="s">
        <v>71</v>
      </c>
    </row>
    <row r="12" spans="1:56" ht="15" thickBot="1" x14ac:dyDescent="0.35">
      <c r="A12" s="39"/>
      <c r="B12" s="18" t="s">
        <v>59</v>
      </c>
      <c r="C12" s="18"/>
      <c r="D12" s="129"/>
      <c r="E12" s="89"/>
      <c r="F12" s="89"/>
      <c r="G12" s="89"/>
      <c r="H12" s="93" t="str">
        <f>IFERROR(LOOKUP(W12,$B$21:$C$33,$G$21:$G$33),"")</f>
        <v/>
      </c>
      <c r="I12" s="89" t="str">
        <f t="shared" si="5"/>
        <v/>
      </c>
      <c r="J12" s="24" t="e">
        <f>IF(I12=TRUE,"",LOOKUP(W12,$B$21:$C$33,$E$21:$E$33))</f>
        <v>#N/A</v>
      </c>
      <c r="K12" s="89" t="str">
        <f>IF(H12="","",IFERROR(LOOKUP(W12,$B$37:$C$46,$D$37:$D$46),0))</f>
        <v/>
      </c>
      <c r="L12" s="89" t="str">
        <f>IF(H12="","",COUNT($M$3:M12))</f>
        <v/>
      </c>
      <c r="M12" s="89" t="str">
        <f>IF(H12="","",IF(K12=K11,0,LOOKUP(W12,$B$37:$C$46,$D$37:$D$46)))</f>
        <v/>
      </c>
      <c r="N12" s="24" t="e">
        <f>IF(M12=0,"",VLOOKUP(W12,$B$35:$E$46,4,FALSE))</f>
        <v>#N/A</v>
      </c>
      <c r="O12" s="24" t="str">
        <f>IF(H12="","",IF(I12=TRUE,"",COUNTIF($I$2:I12,FALSE)+1))</f>
        <v/>
      </c>
      <c r="P12" s="89"/>
      <c r="Q12" s="24">
        <v>11</v>
      </c>
      <c r="R12" s="89">
        <f t="shared" si="6"/>
        <v>2</v>
      </c>
      <c r="S12" s="25" t="str">
        <f t="shared" si="0"/>
        <v>Year 2</v>
      </c>
      <c r="T12" s="89" t="str">
        <f>IF(Q12&lt;=$D$12,Q12,"")</f>
        <v/>
      </c>
      <c r="U12" s="89" t="str">
        <f t="shared" si="7"/>
        <v/>
      </c>
      <c r="V12" s="18" t="str">
        <f>IF(T12&lt;=$D$12,"Month "&amp;T12,"")</f>
        <v xml:space="preserve">Month </v>
      </c>
      <c r="W12" s="96">
        <f t="shared" si="8"/>
        <v>333</v>
      </c>
      <c r="X12" s="89" t="str">
        <f>IFERROR(IF(I12=TRUE,ROUND(U12*H12,2)*(W12-W11),ROUND(U12*H11,2)*(LOOKUP(W11,$B$21:$C$33,$C$21:$C$33)-W11)+ROUND(U12*H12,2)*(W12-LOOKUP(W11,$B$21:$C$33,$C$21:$C$33))),"")</f>
        <v/>
      </c>
      <c r="Y12" s="89" t="str">
        <f>IFERROR(IF(U12&lt;Z11,U12,IF(T12=$D$12,U12,Z12-X12+M12)),"")</f>
        <v/>
      </c>
      <c r="Z12" s="89" t="str">
        <f>IF(U12="","",IF(AND(I12=FALSE,J12="No"),Z11,IF(AND(M11&lt;&gt;0,N11="Yes"),ROUND(-PMT(LOOKUP(W11,'Interest Rates'!$A$5:$A$302,'Interest Rates'!$D$5:$D$302)/12,($D$12-T12+1),U12),0),IF(I12=TRUE,Z11,ROUND(-PMT(VLOOKUP(O12,$A$14:$D$28,4,FALSE)/12,($D$12-T12+1),U12),0)))))</f>
        <v/>
      </c>
      <c r="AA12" s="89" t="str">
        <f t="shared" si="9"/>
        <v/>
      </c>
      <c r="AB12" s="89" t="str">
        <f t="shared" si="10"/>
        <v/>
      </c>
      <c r="AC12" s="89"/>
      <c r="AD12" s="86" t="e">
        <f t="shared" si="16"/>
        <v>#VALUE!</v>
      </c>
      <c r="AE12" s="121" t="str">
        <f>IF($D$12="","",IF(AND($AD$7=0,COUNTIF(R:R,AD12)&gt;0),"Year "&amp;AD12+1,IF(COUNTIF(R:R,AD12)&gt;0,"Year "&amp;AD12,"")))</f>
        <v/>
      </c>
      <c r="AF12" s="29" t="str">
        <f t="shared" si="17"/>
        <v/>
      </c>
      <c r="AG12" s="122" t="str">
        <f t="shared" si="15"/>
        <v/>
      </c>
      <c r="AH12" s="116" t="str">
        <f t="shared" si="18"/>
        <v/>
      </c>
      <c r="AI12" s="123" t="str">
        <f t="shared" si="19"/>
        <v/>
      </c>
      <c r="AJ12" s="116" t="str">
        <f t="shared" si="13"/>
        <v/>
      </c>
      <c r="AK12" s="124" t="str">
        <f t="shared" si="14"/>
        <v/>
      </c>
      <c r="AL12" s="120"/>
      <c r="AM12" s="89">
        <f>COUNTIF($AP$2:AP12,AO12)</f>
        <v>0</v>
      </c>
      <c r="AN12" s="103">
        <f t="shared" si="11"/>
        <v>3743</v>
      </c>
      <c r="AO12" s="103">
        <f t="shared" si="1"/>
        <v>4532</v>
      </c>
      <c r="AP12" s="103">
        <f t="shared" si="2"/>
        <v>3743</v>
      </c>
      <c r="AQ12" s="104">
        <v>11</v>
      </c>
      <c r="AR12" s="104">
        <f t="shared" si="3"/>
        <v>11</v>
      </c>
      <c r="AS12" s="103">
        <f t="shared" si="4"/>
        <v>3743</v>
      </c>
      <c r="AT12" s="89"/>
      <c r="AU12" s="89"/>
      <c r="AV12" s="130"/>
      <c r="AW12" s="131" t="str">
        <f>IF($D$12="","",IF(AR4="","","Year "&amp;AR4))</f>
        <v/>
      </c>
      <c r="AX12" s="35" t="str">
        <f>IF($D$10="","",VLOOKUP(AR4,AR:AS,2,FALSE))</f>
        <v/>
      </c>
      <c r="AY12" s="36" t="str">
        <f t="shared" ref="AY12:AY46" si="20">IF(AW12="","",IF(AX12=MAX(W:W),"Final date",AG9+AY11-AI9))</f>
        <v/>
      </c>
      <c r="AZ12" s="37"/>
      <c r="BA12" s="38"/>
      <c r="BB12" s="89"/>
      <c r="BC12" s="89">
        <v>2079</v>
      </c>
      <c r="BD12" s="105" t="s">
        <v>72</v>
      </c>
    </row>
    <row r="13" spans="1:56" ht="15" thickBot="1" x14ac:dyDescent="0.35">
      <c r="A13" s="40"/>
      <c r="B13" s="89"/>
      <c r="C13" s="89"/>
      <c r="D13" s="89"/>
      <c r="E13" s="89"/>
      <c r="F13" s="89"/>
      <c r="G13" s="89"/>
      <c r="H13" s="93" t="str">
        <f>IFERROR(LOOKUP(W13,$B$21:$C$33,$G$21:$G$33),"")</f>
        <v/>
      </c>
      <c r="I13" s="89" t="str">
        <f t="shared" si="5"/>
        <v/>
      </c>
      <c r="J13" s="24" t="e">
        <f>IF(I13=TRUE,"",LOOKUP(W13,$B$21:$C$33,$E$21:$E$33))</f>
        <v>#N/A</v>
      </c>
      <c r="K13" s="89" t="str">
        <f>IF(H13="","",IFERROR(LOOKUP(W13,$B$37:$C$46,$D$37:$D$46),0))</f>
        <v/>
      </c>
      <c r="L13" s="89" t="str">
        <f>IF(H13="","",COUNT($M$3:M13))</f>
        <v/>
      </c>
      <c r="M13" s="89" t="str">
        <f>IF(H13="","",IF(K13=K12,0,LOOKUP(W13,$B$37:$C$46,$D$37:$D$46)))</f>
        <v/>
      </c>
      <c r="N13" s="24" t="e">
        <f>IF(M13=0,"",VLOOKUP(W13,$B$35:$E$46,4,FALSE))</f>
        <v>#N/A</v>
      </c>
      <c r="O13" s="24" t="str">
        <f>IF(H13="","",IF(I13=TRUE,"",COUNTIF($I$2:I13,FALSE)+1))</f>
        <v/>
      </c>
      <c r="P13" s="89"/>
      <c r="Q13" s="87">
        <v>12</v>
      </c>
      <c r="R13" s="89">
        <f t="shared" si="6"/>
        <v>2</v>
      </c>
      <c r="S13" s="25" t="str">
        <f t="shared" si="0"/>
        <v>Year 2</v>
      </c>
      <c r="T13" s="89" t="str">
        <f>IF(Q13&lt;=$D$12,Q13,"")</f>
        <v/>
      </c>
      <c r="U13" s="89" t="str">
        <f t="shared" si="7"/>
        <v/>
      </c>
      <c r="V13" s="18" t="str">
        <f>IF(T13&lt;=$D$12,"Month "&amp;T13,"")</f>
        <v xml:space="preserve">Month </v>
      </c>
      <c r="W13" s="96">
        <f t="shared" si="8"/>
        <v>363</v>
      </c>
      <c r="X13" s="89" t="str">
        <f>IFERROR(IF(I13=TRUE,ROUND(U13*H13,2)*(W13-W12),ROUND(U13*H12,2)*(LOOKUP(W12,$B$21:$C$33,$C$21:$C$33)-W12)+ROUND(U13*H13,2)*(W13-LOOKUP(W12,$B$21:$C$33,$C$21:$C$33))),"")</f>
        <v/>
      </c>
      <c r="Y13" s="89" t="str">
        <f>IFERROR(IF(U13&lt;Z12,U13,IF(T13=$D$12,U13,Z13-X13+M13)),"")</f>
        <v/>
      </c>
      <c r="Z13" s="89" t="str">
        <f>IF(U13="","",IF(AND(I13=FALSE,J13="No"),Z12,IF(AND(M12&lt;&gt;0,N12="Yes"),ROUND(-PMT(LOOKUP(W12,'Interest Rates'!$A$5:$A$302,'Interest Rates'!$D$5:$D$302)/12,($D$12-T13+1),U13),0),IF(I13=TRUE,Z12,ROUND(-PMT(VLOOKUP(O13,$A$14:$D$28,4,FALSE)/12,($D$12-T13+1),U13),0)))))</f>
        <v/>
      </c>
      <c r="AA13" s="89" t="str">
        <f t="shared" si="9"/>
        <v/>
      </c>
      <c r="AB13" s="89" t="str">
        <f t="shared" si="10"/>
        <v/>
      </c>
      <c r="AC13" s="89"/>
      <c r="AD13" s="86" t="e">
        <f t="shared" si="16"/>
        <v>#VALUE!</v>
      </c>
      <c r="AE13" s="121" t="str">
        <f>IF($D$12="","",IF(AND($AD$7=0,COUNTIF(R:R,AD13)&gt;0),"Year "&amp;AD13+1,IF(COUNTIF(R:R,AD13)&gt;0,"Year "&amp;AD13,"")))</f>
        <v/>
      </c>
      <c r="AF13" s="29" t="str">
        <f t="shared" si="17"/>
        <v/>
      </c>
      <c r="AG13" s="122" t="str">
        <f t="shared" si="15"/>
        <v/>
      </c>
      <c r="AH13" s="116" t="str">
        <f t="shared" si="18"/>
        <v/>
      </c>
      <c r="AI13" s="123" t="str">
        <f t="shared" si="19"/>
        <v/>
      </c>
      <c r="AJ13" s="116" t="str">
        <f t="shared" si="13"/>
        <v/>
      </c>
      <c r="AK13" s="124" t="str">
        <f t="shared" si="14"/>
        <v/>
      </c>
      <c r="AL13" s="120"/>
      <c r="AM13" s="89">
        <f>COUNTIF($AP$2:AP13,AO13)</f>
        <v>0</v>
      </c>
      <c r="AN13" s="103">
        <f t="shared" si="11"/>
        <v>4108</v>
      </c>
      <c r="AO13" s="103">
        <f t="shared" si="1"/>
        <v>4532</v>
      </c>
      <c r="AP13" s="103">
        <f t="shared" si="2"/>
        <v>4108</v>
      </c>
      <c r="AQ13" s="104">
        <v>12</v>
      </c>
      <c r="AR13" s="104">
        <f t="shared" si="3"/>
        <v>12</v>
      </c>
      <c r="AS13" s="103">
        <f t="shared" si="4"/>
        <v>4108</v>
      </c>
      <c r="AT13" s="89"/>
      <c r="AU13" s="89"/>
      <c r="AV13" s="37"/>
      <c r="AW13" s="131" t="str">
        <f>IF($D$12="","",IF(AR5="","","Year "&amp;AR5))</f>
        <v/>
      </c>
      <c r="AX13" s="35" t="str">
        <f>IF($D$10="","",VLOOKUP(AR5,AR:AS,2,FALSE))</f>
        <v/>
      </c>
      <c r="AY13" s="36" t="str">
        <f t="shared" si="20"/>
        <v/>
      </c>
      <c r="AZ13" s="37"/>
      <c r="BA13" s="38"/>
      <c r="BB13" s="89"/>
      <c r="BC13" s="89">
        <v>2088</v>
      </c>
      <c r="BD13" s="105" t="s">
        <v>73</v>
      </c>
    </row>
    <row r="14" spans="1:56" ht="15" thickBot="1" x14ac:dyDescent="0.35">
      <c r="A14" s="40"/>
      <c r="B14" s="89" t="s">
        <v>55</v>
      </c>
      <c r="C14" s="89"/>
      <c r="D14" s="132" t="str">
        <f>IF(D10="","",IF(AND(D10&gt;=0,D10&lt;=100000),200,IF(AND(D10&gt;=100001,D10&lt;=250000),300,IF(AND(D10&gt;=250001,D10&lt;=500000),400,IF(AND(D10&gt;=500001,D10&lt;99999999),500,0)))))</f>
        <v/>
      </c>
      <c r="E14" s="89"/>
      <c r="F14" s="89"/>
      <c r="G14" s="89"/>
      <c r="H14" s="93" t="str">
        <f>IFERROR(LOOKUP(W14,$B$21:$C$33,$G$21:$G$33),"")</f>
        <v/>
      </c>
      <c r="I14" s="89" t="str">
        <f t="shared" si="5"/>
        <v/>
      </c>
      <c r="J14" s="24" t="e">
        <f>IF(I14=TRUE,"",LOOKUP(W14,$B$21:$C$33,$E$21:$E$33))</f>
        <v>#N/A</v>
      </c>
      <c r="K14" s="89" t="str">
        <f>IF(H14="","",IFERROR(LOOKUP(W14,$B$37:$C$46,$D$37:$D$46),0))</f>
        <v/>
      </c>
      <c r="L14" s="89" t="str">
        <f>IF(H14="","",COUNT($M$3:M14))</f>
        <v/>
      </c>
      <c r="M14" s="89" t="str">
        <f>IF(H14="","",IF(K14=K13,0,LOOKUP(W14,$B$37:$C$46,$D$37:$D$46)))</f>
        <v/>
      </c>
      <c r="N14" s="24" t="e">
        <f>IF(M14=0,"",VLOOKUP(W14,$B$35:$E$46,4,FALSE))</f>
        <v>#N/A</v>
      </c>
      <c r="O14" s="24" t="str">
        <f>IF(H14="","",IF(I14=TRUE,"",COUNTIF($I$2:I14,FALSE)+1))</f>
        <v/>
      </c>
      <c r="P14" s="89"/>
      <c r="Q14" s="24">
        <v>13</v>
      </c>
      <c r="R14" s="89">
        <f t="shared" si="6"/>
        <v>2</v>
      </c>
      <c r="S14" s="25" t="str">
        <f t="shared" si="0"/>
        <v>Year 2</v>
      </c>
      <c r="T14" s="89" t="str">
        <f>IF(Q14&lt;=$D$12,Q14,"")</f>
        <v/>
      </c>
      <c r="U14" s="89" t="str">
        <f t="shared" si="7"/>
        <v/>
      </c>
      <c r="V14" s="18" t="str">
        <f>IF(T14&lt;=$D$12,"Month "&amp;T14,"")</f>
        <v xml:space="preserve">Month </v>
      </c>
      <c r="W14" s="96">
        <f t="shared" si="8"/>
        <v>394</v>
      </c>
      <c r="X14" s="89" t="str">
        <f>IFERROR(IF(I14=TRUE,ROUND(U14*H14,2)*(W14-W13),ROUND(U14*H13,2)*(LOOKUP(W13,$B$21:$C$33,$C$21:$C$33)-W13)+ROUND(U14*H14,2)*(W14-LOOKUP(W13,$B$21:$C$33,$C$21:$C$33))),"")</f>
        <v/>
      </c>
      <c r="Y14" s="89" t="str">
        <f>IFERROR(IF(U14&lt;Z13,U14,IF(T14=$D$12,U14,Z14-X14+M14)),"")</f>
        <v/>
      </c>
      <c r="Z14" s="89" t="str">
        <f>IF(U14="","",IF(AND(I14=FALSE,J14="No"),Z13,IF(AND(M13&lt;&gt;0,N13="Yes"),ROUND(-PMT(LOOKUP(W13,'Interest Rates'!$A$5:$A$302,'Interest Rates'!$D$5:$D$302)/12,($D$12-T14+1),U14),0),IF(I14=TRUE,Z13,ROUND(-PMT(VLOOKUP(O14,$A$14:$D$28,4,FALSE)/12,($D$12-T14+1),U14),0)))))</f>
        <v/>
      </c>
      <c r="AA14" s="89" t="str">
        <f t="shared" si="9"/>
        <v/>
      </c>
      <c r="AB14" s="89" t="str">
        <f t="shared" si="10"/>
        <v/>
      </c>
      <c r="AC14" s="89"/>
      <c r="AD14" s="86" t="e">
        <f t="shared" si="16"/>
        <v>#VALUE!</v>
      </c>
      <c r="AE14" s="121" t="str">
        <f>IF($D$12="","",IF(AND($AD$7=0,COUNTIF(R:R,AD14)&gt;0),"Year "&amp;AD14+1,IF(COUNTIF(R:R,AD14)&gt;0,"Year "&amp;AD14,"")))</f>
        <v/>
      </c>
      <c r="AF14" s="29" t="str">
        <f t="shared" si="17"/>
        <v/>
      </c>
      <c r="AG14" s="122" t="str">
        <f t="shared" si="15"/>
        <v/>
      </c>
      <c r="AH14" s="116" t="str">
        <f t="shared" si="18"/>
        <v/>
      </c>
      <c r="AI14" s="123" t="str">
        <f t="shared" si="19"/>
        <v/>
      </c>
      <c r="AJ14" s="116" t="str">
        <f t="shared" si="13"/>
        <v/>
      </c>
      <c r="AK14" s="124" t="str">
        <f t="shared" si="14"/>
        <v/>
      </c>
      <c r="AL14" s="120"/>
      <c r="AM14" s="89">
        <f>COUNTIF($AP$2:AP14,AO14)</f>
        <v>0</v>
      </c>
      <c r="AN14" s="103">
        <f t="shared" si="11"/>
        <v>4474</v>
      </c>
      <c r="AO14" s="103">
        <f t="shared" si="1"/>
        <v>4532</v>
      </c>
      <c r="AP14" s="103">
        <f t="shared" si="2"/>
        <v>4474</v>
      </c>
      <c r="AQ14" s="104">
        <v>13</v>
      </c>
      <c r="AR14" s="104">
        <f t="shared" si="3"/>
        <v>13</v>
      </c>
      <c r="AS14" s="103">
        <f t="shared" si="4"/>
        <v>4474</v>
      </c>
      <c r="AT14" s="89"/>
      <c r="AU14" s="89"/>
      <c r="AV14" s="37"/>
      <c r="AW14" s="131" t="str">
        <f>IF($D$12="","",IF(AR6="","","Year "&amp;AR6))</f>
        <v/>
      </c>
      <c r="AX14" s="35" t="str">
        <f>IF($D$10="","",VLOOKUP(AR6,AR:AS,2,FALSE))</f>
        <v/>
      </c>
      <c r="AY14" s="36" t="str">
        <f t="shared" si="20"/>
        <v/>
      </c>
      <c r="AZ14" s="37"/>
      <c r="BA14" s="38"/>
      <c r="BB14" s="89"/>
      <c r="BC14" s="89">
        <v>2089</v>
      </c>
      <c r="BD14" s="105" t="s">
        <v>74</v>
      </c>
    </row>
    <row r="15" spans="1:56" x14ac:dyDescent="0.3">
      <c r="A15" s="40"/>
      <c r="B15" s="89"/>
      <c r="C15" s="89"/>
      <c r="D15" s="147"/>
      <c r="E15" s="89"/>
      <c r="F15" s="89"/>
      <c r="G15" s="89"/>
      <c r="H15" s="93" t="str">
        <f>IFERROR(LOOKUP(W15,$B$21:$C$33,$G$21:$G$33),"")</f>
        <v/>
      </c>
      <c r="I15" s="89" t="str">
        <f t="shared" si="5"/>
        <v/>
      </c>
      <c r="J15" s="24" t="e">
        <f>IF(I15=TRUE,"",LOOKUP(W15,$B$21:$C$33,$E$21:$E$33))</f>
        <v>#N/A</v>
      </c>
      <c r="K15" s="89" t="str">
        <f>IF(H15="","",IFERROR(LOOKUP(W15,$B$37:$C$46,$D$37:$D$46),0))</f>
        <v/>
      </c>
      <c r="L15" s="89" t="str">
        <f>IF(H15="","",COUNT($M$3:M15))</f>
        <v/>
      </c>
      <c r="M15" s="89" t="str">
        <f>IF(H15="","",IF(K15=K14,0,LOOKUP(W15,$B$37:$C$46,$D$37:$D$46)))</f>
        <v/>
      </c>
      <c r="N15" s="24" t="e">
        <f>IF(M15=0,"",VLOOKUP(W15,$B$35:$E$46,4,FALSE))</f>
        <v>#N/A</v>
      </c>
      <c r="O15" s="24" t="str">
        <f>IF(H15="","",IF(I15=TRUE,"",COUNTIF($I$2:I15,FALSE)+1))</f>
        <v/>
      </c>
      <c r="P15" s="89"/>
      <c r="Q15" s="87">
        <v>14</v>
      </c>
      <c r="R15" s="89">
        <f t="shared" si="6"/>
        <v>2</v>
      </c>
      <c r="S15" s="25" t="str">
        <f t="shared" si="0"/>
        <v>Year 2</v>
      </c>
      <c r="T15" s="89" t="str">
        <f>IF(Q15&lt;=$D$12,Q15,"")</f>
        <v/>
      </c>
      <c r="U15" s="89" t="str">
        <f t="shared" si="7"/>
        <v/>
      </c>
      <c r="V15" s="18" t="str">
        <f>IF(T15&lt;=$D$12,"Month "&amp;T15,"")</f>
        <v xml:space="preserve">Month </v>
      </c>
      <c r="W15" s="96">
        <f t="shared" si="8"/>
        <v>425</v>
      </c>
      <c r="X15" s="89" t="str">
        <f>IFERROR(IF(I15=TRUE,ROUND(U15*H15,2)*(W15-W14),ROUND(U15*H14,2)*(LOOKUP(W14,$B$21:$C$33,$C$21:$C$33)-W14)+ROUND(U15*H15,2)*(W15-LOOKUP(W14,$B$21:$C$33,$C$21:$C$33))),"")</f>
        <v/>
      </c>
      <c r="Y15" s="89" t="str">
        <f>IFERROR(IF(U15&lt;Z14,U15,IF(T15=$D$12,U15,Z15-X15+M15)),"")</f>
        <v/>
      </c>
      <c r="Z15" s="89" t="str">
        <f>IF(U15="","",IF(AND(I15=FALSE,J15="No"),Z14,IF(AND(M14&lt;&gt;0,N14="Yes"),ROUND(-PMT(LOOKUP(W14,'Interest Rates'!$A$5:$A$302,'Interest Rates'!$D$5:$D$302)/12,($D$12-T15+1),U15),0),IF(I15=TRUE,Z14,ROUND(-PMT(VLOOKUP(O15,$A$14:$D$28,4,FALSE)/12,($D$12-T15+1),U15),0)))))</f>
        <v/>
      </c>
      <c r="AA15" s="89" t="str">
        <f t="shared" si="9"/>
        <v/>
      </c>
      <c r="AB15" s="89" t="str">
        <f t="shared" si="10"/>
        <v/>
      </c>
      <c r="AC15" s="89"/>
      <c r="AD15" s="86" t="e">
        <f t="shared" si="16"/>
        <v>#VALUE!</v>
      </c>
      <c r="AE15" s="121" t="str">
        <f>IF($D$12="","",IF(AND($AD$7=0,COUNTIF(R:R,AD15)&gt;0),"Year "&amp;AD15+1,IF(COUNTIF(R:R,AD15)&gt;0,"Year "&amp;AD15,"")))</f>
        <v/>
      </c>
      <c r="AF15" s="29" t="str">
        <f t="shared" si="17"/>
        <v/>
      </c>
      <c r="AG15" s="122" t="str">
        <f t="shared" si="15"/>
        <v/>
      </c>
      <c r="AH15" s="116" t="str">
        <f t="shared" si="18"/>
        <v/>
      </c>
      <c r="AI15" s="123" t="str">
        <f t="shared" si="19"/>
        <v/>
      </c>
      <c r="AJ15" s="116" t="str">
        <f t="shared" si="13"/>
        <v/>
      </c>
      <c r="AK15" s="124" t="str">
        <f t="shared" si="14"/>
        <v/>
      </c>
      <c r="AL15" s="120"/>
      <c r="AM15" s="89">
        <f>COUNTIF($AP$2:AP15,AO15)</f>
        <v>1</v>
      </c>
      <c r="AN15" s="103">
        <f t="shared" si="11"/>
        <v>4839</v>
      </c>
      <c r="AO15" s="103">
        <f t="shared" si="1"/>
        <v>4532</v>
      </c>
      <c r="AP15" s="103">
        <f t="shared" si="2"/>
        <v>4532</v>
      </c>
      <c r="AQ15" s="104">
        <v>14</v>
      </c>
      <c r="AR15" s="104">
        <f t="shared" si="3"/>
        <v>14</v>
      </c>
      <c r="AS15" s="103">
        <f t="shared" si="4"/>
        <v>4532</v>
      </c>
      <c r="AT15" s="89"/>
      <c r="AU15" s="89"/>
      <c r="AV15" s="37"/>
      <c r="AW15" s="131" t="str">
        <f>IF($D$12="","",IF(AR7="","","Year "&amp;AR7))</f>
        <v/>
      </c>
      <c r="AX15" s="35" t="str">
        <f>IF($D$10="","",VLOOKUP(AR7,AR:AS,2,FALSE))</f>
        <v/>
      </c>
      <c r="AY15" s="36" t="str">
        <f t="shared" si="20"/>
        <v/>
      </c>
      <c r="AZ15" s="37"/>
      <c r="BA15" s="38"/>
      <c r="BB15" s="89"/>
      <c r="BC15" s="89">
        <v>2094</v>
      </c>
      <c r="BD15" s="105" t="s">
        <v>75</v>
      </c>
    </row>
    <row r="16" spans="1:56" ht="15" thickBot="1" x14ac:dyDescent="0.35">
      <c r="A16" s="40">
        <v>1</v>
      </c>
      <c r="B16" s="89" t="s">
        <v>377</v>
      </c>
      <c r="C16" s="89"/>
      <c r="D16" s="147"/>
      <c r="E16" s="89"/>
      <c r="F16" s="89"/>
      <c r="G16" s="89"/>
      <c r="H16" s="93" t="str">
        <f>IFERROR(LOOKUP(W16,$B$21:$C$33,$G$21:$G$33),"")</f>
        <v/>
      </c>
      <c r="I16" s="89" t="str">
        <f t="shared" si="5"/>
        <v/>
      </c>
      <c r="J16" s="24" t="e">
        <f>IF(I16=TRUE,"",LOOKUP(W16,$B$21:$C$33,$E$21:$E$33))</f>
        <v>#N/A</v>
      </c>
      <c r="K16" s="89" t="str">
        <f>IF(H16="","",IFERROR(LOOKUP(W16,$B$37:$C$46,$D$37:$D$46),0))</f>
        <v/>
      </c>
      <c r="L16" s="89" t="str">
        <f>IF(H16="","",COUNT($M$3:M16))</f>
        <v/>
      </c>
      <c r="M16" s="89" t="str">
        <f>IF(H16="","",IF(K16=K15,0,LOOKUP(W16,$B$37:$C$46,$D$37:$D$46)))</f>
        <v/>
      </c>
      <c r="N16" s="24" t="e">
        <f>IF(M16=0,"",VLOOKUP(W16,$B$35:$E$46,4,FALSE))</f>
        <v>#N/A</v>
      </c>
      <c r="O16" s="24" t="str">
        <f>IF(H16="","",IF(I16=TRUE,"",COUNTIF($I$2:I16,FALSE)+1))</f>
        <v/>
      </c>
      <c r="P16" s="89"/>
      <c r="Q16" s="24">
        <v>15</v>
      </c>
      <c r="R16" s="89">
        <f t="shared" si="6"/>
        <v>2</v>
      </c>
      <c r="S16" s="25" t="str">
        <f t="shared" si="0"/>
        <v>Year 2</v>
      </c>
      <c r="T16" s="89" t="str">
        <f>IF(Q16&lt;=$D$12,Q16,"")</f>
        <v/>
      </c>
      <c r="U16" s="89" t="str">
        <f t="shared" si="7"/>
        <v/>
      </c>
      <c r="V16" s="18" t="str">
        <f>IF(T16&lt;=$D$12,"Month "&amp;T16,"")</f>
        <v xml:space="preserve">Month </v>
      </c>
      <c r="W16" s="96">
        <f t="shared" si="8"/>
        <v>453</v>
      </c>
      <c r="X16" s="89" t="str">
        <f>IFERROR(IF(I16=TRUE,ROUND(U16*H16,2)*(W16-W15),ROUND(U16*H15,2)*(LOOKUP(W15,$B$21:$C$33,$C$21:$C$33)-W15)+ROUND(U16*H16,2)*(W16-LOOKUP(W15,$B$21:$C$33,$C$21:$C$33))),"")</f>
        <v/>
      </c>
      <c r="Y16" s="89" t="str">
        <f>IFERROR(IF(U16&lt;Z15,U16,IF(T16=$D$12,U16,Z16-X16+M16)),"")</f>
        <v/>
      </c>
      <c r="Z16" s="89" t="str">
        <f>IF(U16="","",IF(AND(I16=FALSE,J16="No"),Z15,IF(AND(M15&lt;&gt;0,N15="Yes"),ROUND(-PMT(LOOKUP(W15,'Interest Rates'!$A$5:$A$302,'Interest Rates'!$D$5:$D$302)/12,($D$12-T16+1),U16),0),IF(I16=TRUE,Z15,ROUND(-PMT(VLOOKUP(O16,$A$14:$D$28,4,FALSE)/12,($D$12-T16+1),U16),0)))))</f>
        <v/>
      </c>
      <c r="AA16" s="89" t="str">
        <f t="shared" si="9"/>
        <v/>
      </c>
      <c r="AB16" s="89" t="str">
        <f t="shared" si="10"/>
        <v/>
      </c>
      <c r="AC16" s="89"/>
      <c r="AD16" s="86" t="e">
        <f t="shared" si="16"/>
        <v>#VALUE!</v>
      </c>
      <c r="AE16" s="121" t="str">
        <f>IF($D$12="","",IF(AND($AD$7=0,COUNTIF(R:R,AD16)&gt;0),"Year "&amp;AD16+1,IF(COUNTIF(R:R,AD16)&gt;0,"Year "&amp;AD16,"")))</f>
        <v/>
      </c>
      <c r="AF16" s="29" t="str">
        <f t="shared" si="17"/>
        <v/>
      </c>
      <c r="AG16" s="122" t="str">
        <f t="shared" si="15"/>
        <v/>
      </c>
      <c r="AH16" s="116" t="str">
        <f t="shared" si="18"/>
        <v/>
      </c>
      <c r="AI16" s="123" t="str">
        <f t="shared" si="19"/>
        <v/>
      </c>
      <c r="AJ16" s="116" t="str">
        <f t="shared" si="13"/>
        <v/>
      </c>
      <c r="AK16" s="124" t="str">
        <f t="shared" si="14"/>
        <v/>
      </c>
      <c r="AL16" s="120"/>
      <c r="AM16" s="89">
        <f>COUNTIF($AP$2:AP16,AO16)</f>
        <v>2</v>
      </c>
      <c r="AN16" s="103">
        <f t="shared" si="11"/>
        <v>5204</v>
      </c>
      <c r="AO16" s="103">
        <f t="shared" si="1"/>
        <v>4532</v>
      </c>
      <c r="AP16" s="103">
        <f t="shared" si="2"/>
        <v>4532</v>
      </c>
      <c r="AQ16" s="104">
        <v>15</v>
      </c>
      <c r="AR16" s="104" t="str">
        <f t="shared" si="3"/>
        <v/>
      </c>
      <c r="AS16" s="103" t="str">
        <f t="shared" si="4"/>
        <v/>
      </c>
      <c r="AT16" s="89"/>
      <c r="AU16" s="89"/>
      <c r="AV16" s="45"/>
      <c r="AW16" s="131" t="str">
        <f>IF($D$12="","",IF(AR8="","","Year "&amp;AR8))</f>
        <v/>
      </c>
      <c r="AX16" s="35" t="str">
        <f>IF($D$10="","",VLOOKUP(AR8,AR:AS,2,FALSE))</f>
        <v/>
      </c>
      <c r="AY16" s="36" t="str">
        <f t="shared" si="20"/>
        <v/>
      </c>
      <c r="AZ16" s="37"/>
      <c r="BA16" s="38"/>
      <c r="BB16" s="89"/>
      <c r="BC16" s="89">
        <v>2095</v>
      </c>
      <c r="BD16" s="105" t="s">
        <v>76</v>
      </c>
    </row>
    <row r="17" spans="1:56" ht="15" thickBot="1" x14ac:dyDescent="0.35">
      <c r="A17" s="40">
        <v>2</v>
      </c>
      <c r="B17" s="89" t="s">
        <v>376</v>
      </c>
      <c r="C17" s="89"/>
      <c r="D17" s="89"/>
      <c r="E17" s="146"/>
      <c r="F17" s="89"/>
      <c r="G17" s="89"/>
      <c r="H17" s="93" t="str">
        <f>IFERROR(LOOKUP(W17,$B$21:$C$33,$G$21:$G$33),"")</f>
        <v/>
      </c>
      <c r="I17" s="89" t="str">
        <f t="shared" si="5"/>
        <v/>
      </c>
      <c r="J17" s="24" t="e">
        <f>IF(I17=TRUE,"",LOOKUP(W17,$B$21:$C$33,$E$21:$E$33))</f>
        <v>#N/A</v>
      </c>
      <c r="K17" s="89" t="str">
        <f>IF(H17="","",IFERROR(LOOKUP(W17,$B$37:$C$46,$D$37:$D$46),0))</f>
        <v/>
      </c>
      <c r="L17" s="89" t="str">
        <f>IF(H17="","",COUNT($M$3:M17))</f>
        <v/>
      </c>
      <c r="M17" s="89" t="str">
        <f>IF(H17="","",IF(K17=K16,0,LOOKUP(W17,$B$37:$C$46,$D$37:$D$46)))</f>
        <v/>
      </c>
      <c r="N17" s="24" t="e">
        <f>IF(M17=0,"",VLOOKUP(W17,$B$35:$E$46,4,FALSE))</f>
        <v>#N/A</v>
      </c>
      <c r="O17" s="24" t="str">
        <f>IF(H17="","",IF(I17=TRUE,"",COUNTIF($I$2:I17,FALSE)+1))</f>
        <v/>
      </c>
      <c r="P17" s="89"/>
      <c r="Q17" s="87">
        <v>16</v>
      </c>
      <c r="R17" s="89">
        <f t="shared" si="6"/>
        <v>3</v>
      </c>
      <c r="S17" s="25" t="str">
        <f t="shared" si="0"/>
        <v>Year 3</v>
      </c>
      <c r="T17" s="89" t="str">
        <f>IF(Q17&lt;=$D$12,Q17,"")</f>
        <v/>
      </c>
      <c r="U17" s="89" t="str">
        <f t="shared" si="7"/>
        <v/>
      </c>
      <c r="V17" s="18" t="str">
        <f>IF(T17&lt;=$D$12,"Month "&amp;T17,"")</f>
        <v xml:space="preserve">Month </v>
      </c>
      <c r="W17" s="96">
        <f t="shared" si="8"/>
        <v>484</v>
      </c>
      <c r="X17" s="89" t="str">
        <f>IFERROR(IF(I17=TRUE,ROUND(U17*H17,2)*(W17-W16),ROUND(U17*H16,2)*(LOOKUP(W16,$B$21:$C$33,$C$21:$C$33)-W16)+ROUND(U17*H17,2)*(W17-LOOKUP(W16,$B$21:$C$33,$C$21:$C$33))),"")</f>
        <v/>
      </c>
      <c r="Y17" s="89" t="str">
        <f>IFERROR(IF(U17&lt;Z16,U17,IF(T17=$D$12,U17,Z17-X17+M17)),"")</f>
        <v/>
      </c>
      <c r="Z17" s="89" t="str">
        <f>IF(U17="","",IF(AND(I17=FALSE,J17="No"),Z16,IF(AND(M16&lt;&gt;0,N16="Yes"),ROUND(-PMT(LOOKUP(W16,'Interest Rates'!$A$5:$A$302,'Interest Rates'!$D$5:$D$302)/12,($D$12-T17+1),U17),0),IF(I17=TRUE,Z16,ROUND(-PMT(VLOOKUP(O17,$A$14:$D$28,4,FALSE)/12,($D$12-T17+1),U17),0)))))</f>
        <v/>
      </c>
      <c r="AA17" s="89" t="str">
        <f t="shared" si="9"/>
        <v/>
      </c>
      <c r="AB17" s="89" t="str">
        <f t="shared" si="10"/>
        <v/>
      </c>
      <c r="AC17" s="89"/>
      <c r="AD17" s="86" t="e">
        <f t="shared" si="16"/>
        <v>#VALUE!</v>
      </c>
      <c r="AE17" s="121" t="str">
        <f>IF($D$12="","",IF(AND($AD$7=0,COUNTIF(R:R,AD17)&gt;0),"Year "&amp;AD17+1,IF(COUNTIF(R:R,AD17)&gt;0,"Year "&amp;AD17,"")))</f>
        <v/>
      </c>
      <c r="AF17" s="29" t="str">
        <f t="shared" si="17"/>
        <v/>
      </c>
      <c r="AG17" s="122" t="str">
        <f t="shared" si="15"/>
        <v/>
      </c>
      <c r="AH17" s="116" t="str">
        <f t="shared" si="18"/>
        <v/>
      </c>
      <c r="AI17" s="123" t="str">
        <f t="shared" si="19"/>
        <v/>
      </c>
      <c r="AJ17" s="116" t="str">
        <f t="shared" si="13"/>
        <v/>
      </c>
      <c r="AK17" s="124" t="str">
        <f t="shared" si="14"/>
        <v/>
      </c>
      <c r="AL17" s="120"/>
      <c r="AM17" s="89">
        <f>COUNTIF($AP$2:AP17,AO17)</f>
        <v>3</v>
      </c>
      <c r="AN17" s="103">
        <f t="shared" si="11"/>
        <v>5569</v>
      </c>
      <c r="AO17" s="103">
        <f t="shared" si="1"/>
        <v>4532</v>
      </c>
      <c r="AP17" s="103">
        <f t="shared" si="2"/>
        <v>4532</v>
      </c>
      <c r="AQ17" s="104">
        <v>16</v>
      </c>
      <c r="AR17" s="104" t="str">
        <f t="shared" si="3"/>
        <v/>
      </c>
      <c r="AS17" s="103" t="str">
        <f t="shared" si="4"/>
        <v/>
      </c>
      <c r="AT17" s="89"/>
      <c r="AU17" s="89"/>
      <c r="AV17" s="37"/>
      <c r="AW17" s="131" t="str">
        <f>IF($D$12="","",IF(AR9="","","Year "&amp;AR9))</f>
        <v/>
      </c>
      <c r="AX17" s="35" t="str">
        <f>IF($D$10="","",VLOOKUP(AR9,AR:AS,2,FALSE))</f>
        <v/>
      </c>
      <c r="AY17" s="36" t="str">
        <f t="shared" si="20"/>
        <v/>
      </c>
      <c r="AZ17" s="37"/>
      <c r="BA17" s="38"/>
      <c r="BB17" s="89"/>
      <c r="BC17" s="89">
        <v>2109</v>
      </c>
      <c r="BD17" s="105" t="s">
        <v>77</v>
      </c>
    </row>
    <row r="18" spans="1:56" x14ac:dyDescent="0.3">
      <c r="A18" s="40">
        <v>3</v>
      </c>
      <c r="B18" s="89" t="s">
        <v>378</v>
      </c>
      <c r="C18" s="89"/>
      <c r="D18" s="89"/>
      <c r="E18" s="148"/>
      <c r="F18" s="89"/>
      <c r="G18" s="89"/>
      <c r="H18" s="93" t="str">
        <f>IFERROR(LOOKUP(W18,$B$21:$C$33,$G$21:$G$33),"")</f>
        <v/>
      </c>
      <c r="I18" s="89" t="str">
        <f t="shared" si="5"/>
        <v/>
      </c>
      <c r="J18" s="24" t="e">
        <f>IF(I18=TRUE,"",LOOKUP(W18,$B$21:$C$33,$E$21:$E$33))</f>
        <v>#N/A</v>
      </c>
      <c r="K18" s="89" t="str">
        <f>IF(H18="","",IFERROR(LOOKUP(W18,$B$37:$C$46,$D$37:$D$46),0))</f>
        <v/>
      </c>
      <c r="L18" s="89" t="str">
        <f>IF(H18="","",COUNT($M$3:M18))</f>
        <v/>
      </c>
      <c r="M18" s="89" t="str">
        <f>IF(H18="","",IF(K18=K17,0,LOOKUP(W18,$B$37:$C$46,$D$37:$D$46)))</f>
        <v/>
      </c>
      <c r="N18" s="24" t="e">
        <f>IF(M18=0,"",VLOOKUP(W18,$B$35:$E$46,4,FALSE))</f>
        <v>#N/A</v>
      </c>
      <c r="O18" s="24" t="str">
        <f>IF(H18="","",IF(I18=TRUE,"",COUNTIF($I$2:I18,FALSE)+1))</f>
        <v/>
      </c>
      <c r="P18" s="89"/>
      <c r="Q18" s="24">
        <v>17</v>
      </c>
      <c r="R18" s="89">
        <f t="shared" si="6"/>
        <v>3</v>
      </c>
      <c r="S18" s="25" t="str">
        <f t="shared" si="0"/>
        <v>Year 3</v>
      </c>
      <c r="T18" s="89" t="str">
        <f>IF(Q18&lt;=$D$12,Q18,"")</f>
        <v/>
      </c>
      <c r="U18" s="89" t="str">
        <f t="shared" si="7"/>
        <v/>
      </c>
      <c r="V18" s="18" t="str">
        <f>IF(T18&lt;=$D$12,"Month "&amp;T18,"")</f>
        <v xml:space="preserve">Month </v>
      </c>
      <c r="W18" s="96">
        <f t="shared" si="8"/>
        <v>514</v>
      </c>
      <c r="X18" s="89" t="str">
        <f>IFERROR(IF(I18=TRUE,ROUND(U18*H18,2)*(W18-W17),ROUND(U18*H17,2)*(LOOKUP(W17,$B$21:$C$33,$C$21:$C$33)-W17)+ROUND(U18*H18,2)*(W18-LOOKUP(W17,$B$21:$C$33,$C$21:$C$33))),"")</f>
        <v/>
      </c>
      <c r="Y18" s="89" t="str">
        <f>IFERROR(IF(U18&lt;Z17,U18,IF(T18=$D$12,U18,Z18-X18+M18)),"")</f>
        <v/>
      </c>
      <c r="Z18" s="89" t="str">
        <f>IF(U18="","",IF(AND(I18=FALSE,J18="No"),Z17,IF(AND(M17&lt;&gt;0,N17="Yes"),ROUND(-PMT(LOOKUP(W17,'Interest Rates'!$A$5:$A$302,'Interest Rates'!$D$5:$D$302)/12,($D$12-T18+1),U18),0),IF(I18=TRUE,Z17,ROUND(-PMT(VLOOKUP(O18,$A$14:$D$28,4,FALSE)/12,($D$12-T18+1),U18),0)))))</f>
        <v/>
      </c>
      <c r="AA18" s="89" t="str">
        <f t="shared" si="9"/>
        <v/>
      </c>
      <c r="AB18" s="89" t="str">
        <f t="shared" si="10"/>
        <v/>
      </c>
      <c r="AC18" s="89"/>
      <c r="AD18" s="86" t="e">
        <f t="shared" si="16"/>
        <v>#VALUE!</v>
      </c>
      <c r="AE18" s="121" t="str">
        <f>IF($D$12="","",IF(AND($AD$7=0,COUNTIF(R:R,AD18)&gt;0),"Year "&amp;AD18+1,IF(COUNTIF(R:R,AD18)&gt;0,"Year "&amp;AD18,"")))</f>
        <v/>
      </c>
      <c r="AF18" s="29" t="str">
        <f t="shared" si="17"/>
        <v/>
      </c>
      <c r="AG18" s="122" t="str">
        <f t="shared" si="15"/>
        <v/>
      </c>
      <c r="AH18" s="116" t="str">
        <f t="shared" si="18"/>
        <v/>
      </c>
      <c r="AI18" s="123" t="str">
        <f t="shared" si="19"/>
        <v/>
      </c>
      <c r="AJ18" s="116" t="str">
        <f t="shared" si="13"/>
        <v/>
      </c>
      <c r="AK18" s="124" t="str">
        <f t="shared" si="14"/>
        <v/>
      </c>
      <c r="AL18" s="120"/>
      <c r="AM18" s="89">
        <f>COUNTIF($AP$2:AP18,AO18)</f>
        <v>4</v>
      </c>
      <c r="AN18" s="103">
        <f t="shared" si="11"/>
        <v>5935</v>
      </c>
      <c r="AO18" s="103">
        <f t="shared" si="1"/>
        <v>4532</v>
      </c>
      <c r="AP18" s="103">
        <f t="shared" si="2"/>
        <v>4532</v>
      </c>
      <c r="AQ18" s="104">
        <v>17</v>
      </c>
      <c r="AR18" s="104" t="str">
        <f t="shared" si="3"/>
        <v/>
      </c>
      <c r="AS18" s="103" t="str">
        <f t="shared" si="4"/>
        <v/>
      </c>
      <c r="AT18" s="89"/>
      <c r="AU18" s="89"/>
      <c r="AV18" s="37"/>
      <c r="AW18" s="131" t="str">
        <f>IF($D$12="","",IF(AR10="","","Year "&amp;AR10))</f>
        <v/>
      </c>
      <c r="AX18" s="35" t="str">
        <f>IF($D$10="","",VLOOKUP(AR10,AR:AS,2,FALSE))</f>
        <v/>
      </c>
      <c r="AY18" s="36" t="str">
        <f t="shared" si="20"/>
        <v/>
      </c>
      <c r="AZ18" s="37"/>
      <c r="BA18" s="38"/>
      <c r="BB18" s="89"/>
      <c r="BC18" s="89">
        <v>2116</v>
      </c>
      <c r="BD18" s="105" t="s">
        <v>78</v>
      </c>
    </row>
    <row r="19" spans="1:56" x14ac:dyDescent="0.3">
      <c r="A19" s="40">
        <v>4</v>
      </c>
      <c r="B19" s="133" t="s">
        <v>60</v>
      </c>
      <c r="C19" s="41"/>
      <c r="D19" s="41"/>
      <c r="E19" s="89"/>
      <c r="F19" s="89"/>
      <c r="G19" s="89"/>
      <c r="H19" s="93" t="str">
        <f>IFERROR(LOOKUP(W19,$B$21:$C$33,$G$21:$G$33),"")</f>
        <v/>
      </c>
      <c r="I19" s="89" t="str">
        <f t="shared" si="5"/>
        <v/>
      </c>
      <c r="J19" s="24" t="e">
        <f>IF(I19=TRUE,"",LOOKUP(W19,$B$21:$C$33,$E$21:$E$33))</f>
        <v>#N/A</v>
      </c>
      <c r="K19" s="89" t="str">
        <f>IF(H19="","",IFERROR(LOOKUP(W19,$B$37:$C$46,$D$37:$D$46),0))</f>
        <v/>
      </c>
      <c r="L19" s="89" t="str">
        <f>IF(H19="","",COUNT($M$3:M19))</f>
        <v/>
      </c>
      <c r="M19" s="89" t="str">
        <f>IF(H19="","",IF(K19=K18,0,LOOKUP(W19,$B$37:$C$46,$D$37:$D$46)))</f>
        <v/>
      </c>
      <c r="N19" s="24" t="e">
        <f>IF(M19=0,"",VLOOKUP(W19,$B$35:$E$46,4,FALSE))</f>
        <v>#N/A</v>
      </c>
      <c r="O19" s="24" t="str">
        <f>IF(H19="","",IF(I19=TRUE,"",COUNTIF($I$2:I19,FALSE)+1))</f>
        <v/>
      </c>
      <c r="P19" s="89"/>
      <c r="Q19" s="87">
        <v>18</v>
      </c>
      <c r="R19" s="89">
        <f t="shared" si="6"/>
        <v>3</v>
      </c>
      <c r="S19" s="25" t="str">
        <f t="shared" si="0"/>
        <v>Year 3</v>
      </c>
      <c r="T19" s="89" t="str">
        <f>IF(Q19&lt;=$D$12,Q19,"")</f>
        <v/>
      </c>
      <c r="U19" s="89" t="str">
        <f t="shared" si="7"/>
        <v/>
      </c>
      <c r="V19" s="18" t="str">
        <f>IF(T19&lt;=$D$12,"Month "&amp;T19,"")</f>
        <v xml:space="preserve">Month </v>
      </c>
      <c r="W19" s="96">
        <f t="shared" si="8"/>
        <v>545</v>
      </c>
      <c r="X19" s="89" t="str">
        <f>IFERROR(IF(I19=TRUE,ROUND(U19*H19,2)*(W19-W18),ROUND(U19*H18,2)*(LOOKUP(W18,$B$21:$C$33,$C$21:$C$33)-W18)+ROUND(U19*H19,2)*(W19-LOOKUP(W18,$B$21:$C$33,$C$21:$C$33))),"")</f>
        <v/>
      </c>
      <c r="Y19" s="89" t="str">
        <f>IFERROR(IF(U19&lt;Z18,U19,IF(T19=$D$12,U19,Z19-X19+M19)),"")</f>
        <v/>
      </c>
      <c r="Z19" s="89" t="str">
        <f>IF(U19="","",IF(AND(I19=FALSE,J19="No"),Z18,IF(AND(M18&lt;&gt;0,N18="Yes"),ROUND(-PMT(LOOKUP(W18,'Interest Rates'!$A$5:$A$302,'Interest Rates'!$D$5:$D$302)/12,($D$12-T19+1),U19),0),IF(I19=TRUE,Z18,ROUND(-PMT(VLOOKUP(O19,$A$14:$D$28,4,FALSE)/12,($D$12-T19+1),U19),0)))))</f>
        <v/>
      </c>
      <c r="AA19" s="89" t="str">
        <f t="shared" si="9"/>
        <v/>
      </c>
      <c r="AB19" s="89" t="str">
        <f t="shared" si="10"/>
        <v/>
      </c>
      <c r="AC19" s="89"/>
      <c r="AD19" s="86" t="e">
        <f t="shared" si="16"/>
        <v>#VALUE!</v>
      </c>
      <c r="AE19" s="121" t="str">
        <f>IF($D$12="","",IF(AND($AD$7=0,COUNTIF(R:R,AD19)&gt;0),"Year "&amp;AD19+1,IF(COUNTIF(R:R,AD19)&gt;0,"Year "&amp;AD19,"")))</f>
        <v/>
      </c>
      <c r="AF19" s="29" t="str">
        <f t="shared" si="17"/>
        <v/>
      </c>
      <c r="AG19" s="122" t="str">
        <f t="shared" si="15"/>
        <v/>
      </c>
      <c r="AH19" s="116" t="str">
        <f t="shared" si="18"/>
        <v/>
      </c>
      <c r="AI19" s="123" t="str">
        <f t="shared" si="19"/>
        <v/>
      </c>
      <c r="AJ19" s="116" t="str">
        <f t="shared" si="13"/>
        <v/>
      </c>
      <c r="AK19" s="124" t="str">
        <f t="shared" si="14"/>
        <v/>
      </c>
      <c r="AL19" s="120"/>
      <c r="AM19" s="89">
        <f>COUNTIF($AP$2:AP19,AO19)</f>
        <v>5</v>
      </c>
      <c r="AN19" s="103">
        <f t="shared" si="11"/>
        <v>6300</v>
      </c>
      <c r="AO19" s="103">
        <f t="shared" si="1"/>
        <v>4532</v>
      </c>
      <c r="AP19" s="103">
        <f t="shared" si="2"/>
        <v>4532</v>
      </c>
      <c r="AQ19" s="104">
        <v>18</v>
      </c>
      <c r="AR19" s="104" t="str">
        <f t="shared" si="3"/>
        <v/>
      </c>
      <c r="AS19" s="103" t="str">
        <f t="shared" si="4"/>
        <v/>
      </c>
      <c r="AT19" s="89"/>
      <c r="AU19" s="89"/>
      <c r="AV19" s="37"/>
      <c r="AW19" s="131" t="str">
        <f>IF($D$12="","",IF(AR11="","","Year "&amp;AR11))</f>
        <v/>
      </c>
      <c r="AX19" s="35" t="str">
        <f>IF($D$10="","",VLOOKUP(AR11,AR:AS,2,FALSE))</f>
        <v/>
      </c>
      <c r="AY19" s="36" t="str">
        <f t="shared" si="20"/>
        <v/>
      </c>
      <c r="AZ19" s="37"/>
      <c r="BA19" s="38"/>
      <c r="BB19" s="89"/>
      <c r="BC19" s="89">
        <v>2119</v>
      </c>
      <c r="BD19" s="105" t="s">
        <v>79</v>
      </c>
    </row>
    <row r="20" spans="1:56" x14ac:dyDescent="0.3">
      <c r="A20" s="40">
        <v>5</v>
      </c>
      <c r="B20" s="15" t="s">
        <v>61</v>
      </c>
      <c r="C20" s="15" t="s">
        <v>62</v>
      </c>
      <c r="D20" s="15" t="s">
        <v>63</v>
      </c>
      <c r="E20" s="133"/>
      <c r="F20" s="133"/>
      <c r="G20" s="42" t="s">
        <v>11</v>
      </c>
      <c r="H20" s="93" t="str">
        <f>IFERROR(LOOKUP(W20,$B$21:$C$33,$G$21:$G$33),"")</f>
        <v/>
      </c>
      <c r="I20" s="89" t="str">
        <f t="shared" si="5"/>
        <v/>
      </c>
      <c r="J20" s="24" t="e">
        <f>IF(I20=TRUE,"",LOOKUP(W20,$B$21:$C$33,$E$21:$E$33))</f>
        <v>#N/A</v>
      </c>
      <c r="K20" s="89" t="str">
        <f>IF(H20="","",IFERROR(LOOKUP(W20,$B$37:$C$46,$D$37:$D$46),0))</f>
        <v/>
      </c>
      <c r="L20" s="89" t="str">
        <f>IF(H20="","",COUNT($M$3:M20))</f>
        <v/>
      </c>
      <c r="M20" s="89" t="str">
        <f>IF(H20="","",IF(K20=K19,0,LOOKUP(W20,$B$37:$C$46,$D$37:$D$46)))</f>
        <v/>
      </c>
      <c r="N20" s="24" t="e">
        <f>IF(M20=0,"",VLOOKUP(W20,$B$35:$E$46,4,FALSE))</f>
        <v>#N/A</v>
      </c>
      <c r="O20" s="24" t="str">
        <f>IF(H20="","",IF(I20=TRUE,"",COUNTIF($I$2:I20,FALSE)+1))</f>
        <v/>
      </c>
      <c r="P20" s="89"/>
      <c r="Q20" s="24">
        <v>19</v>
      </c>
      <c r="R20" s="89">
        <f t="shared" si="6"/>
        <v>3</v>
      </c>
      <c r="S20" s="25" t="str">
        <f t="shared" si="0"/>
        <v>Year 3</v>
      </c>
      <c r="T20" s="89" t="str">
        <f>IF(Q20&lt;=$D$12,Q20,"")</f>
        <v/>
      </c>
      <c r="U20" s="89" t="str">
        <f t="shared" si="7"/>
        <v/>
      </c>
      <c r="V20" s="18" t="str">
        <f>IF(T20&lt;=$D$12,"Month "&amp;T20,"")</f>
        <v xml:space="preserve">Month </v>
      </c>
      <c r="W20" s="96">
        <f t="shared" si="8"/>
        <v>575</v>
      </c>
      <c r="X20" s="89" t="str">
        <f>IFERROR(IF(I20=TRUE,ROUND(U20*H20,2)*(W20-W19),ROUND(U20*H19,2)*(LOOKUP(W19,$B$21:$C$33,$C$21:$C$33)-W19)+ROUND(U20*H20,2)*(W20-LOOKUP(W19,$B$21:$C$33,$C$21:$C$33))),"")</f>
        <v/>
      </c>
      <c r="Y20" s="89" t="str">
        <f>IFERROR(IF(U20&lt;Z19,U20,IF(T20=$D$12,U20,Z20-X20+M20)),"")</f>
        <v/>
      </c>
      <c r="Z20" s="89" t="str">
        <f>IF(U20="","",IF(AND(I20=FALSE,J20="No"),Z19,IF(AND(M19&lt;&gt;0,N19="Yes"),ROUND(-PMT(LOOKUP(W19,'Interest Rates'!$A$5:$A$302,'Interest Rates'!$D$5:$D$302)/12,($D$12-T20+1),U20),0),IF(I20=TRUE,Z19,ROUND(-PMT(VLOOKUP(O20,$A$14:$D$28,4,FALSE)/12,($D$12-T20+1),U20),0)))))</f>
        <v/>
      </c>
      <c r="AA20" s="89" t="str">
        <f t="shared" si="9"/>
        <v/>
      </c>
      <c r="AB20" s="89" t="str">
        <f t="shared" si="10"/>
        <v/>
      </c>
      <c r="AC20" s="89"/>
      <c r="AD20" s="86" t="e">
        <f t="shared" si="16"/>
        <v>#VALUE!</v>
      </c>
      <c r="AE20" s="121" t="str">
        <f>IF($D$12="","",IF(AND($AD$7=0,COUNTIF(R:R,AD20)&gt;0),"Year "&amp;AD20+1,IF(COUNTIF(R:R,AD20)&gt;0,"Year "&amp;AD20,"")))</f>
        <v/>
      </c>
      <c r="AF20" s="29" t="str">
        <f t="shared" si="17"/>
        <v/>
      </c>
      <c r="AG20" s="122" t="str">
        <f t="shared" si="15"/>
        <v/>
      </c>
      <c r="AH20" s="116" t="str">
        <f t="shared" si="18"/>
        <v/>
      </c>
      <c r="AI20" s="123" t="str">
        <f t="shared" si="19"/>
        <v/>
      </c>
      <c r="AJ20" s="116" t="str">
        <f t="shared" si="13"/>
        <v/>
      </c>
      <c r="AK20" s="124" t="str">
        <f t="shared" si="14"/>
        <v/>
      </c>
      <c r="AL20" s="120"/>
      <c r="AM20" s="89">
        <f>COUNTIF($AP$2:AP20,AO20)</f>
        <v>6</v>
      </c>
      <c r="AN20" s="103">
        <f t="shared" si="11"/>
        <v>6665</v>
      </c>
      <c r="AO20" s="103">
        <f t="shared" si="1"/>
        <v>4532</v>
      </c>
      <c r="AP20" s="103">
        <f t="shared" si="2"/>
        <v>4532</v>
      </c>
      <c r="AQ20" s="104">
        <v>19</v>
      </c>
      <c r="AR20" s="104" t="str">
        <f t="shared" si="3"/>
        <v/>
      </c>
      <c r="AS20" s="103" t="str">
        <f t="shared" si="4"/>
        <v/>
      </c>
      <c r="AT20" s="89"/>
      <c r="AU20" s="89"/>
      <c r="AV20" s="37"/>
      <c r="AW20" s="131" t="str">
        <f>IF($D$12="","",IF(AR12="","","Year "&amp;AR12))</f>
        <v/>
      </c>
      <c r="AX20" s="35" t="str">
        <f>IF($D$10="","",VLOOKUP(AR12,AR:AS,2,FALSE))</f>
        <v/>
      </c>
      <c r="AY20" s="36" t="str">
        <f t="shared" si="20"/>
        <v/>
      </c>
      <c r="AZ20" s="37"/>
      <c r="BA20" s="38"/>
      <c r="BB20" s="89"/>
      <c r="BC20" s="89">
        <v>2120</v>
      </c>
      <c r="BD20" s="105" t="s">
        <v>80</v>
      </c>
    </row>
    <row r="21" spans="1:56" x14ac:dyDescent="0.3">
      <c r="A21" s="40">
        <v>6</v>
      </c>
      <c r="B21" s="43" t="str">
        <f>IF(D11="","",D11)</f>
        <v/>
      </c>
      <c r="C21" s="133" t="str">
        <f>IF(B21="","",IF(B22="",B21+5000,B22-1))</f>
        <v/>
      </c>
      <c r="D21" s="133" t="str">
        <f>IFERROR(LOOKUP(B21,'Interest Rates'!$A$3:D300),"")</f>
        <v/>
      </c>
      <c r="E21" s="133"/>
      <c r="F21" s="133"/>
      <c r="G21" s="44" t="e">
        <f>(D21/365.14)</f>
        <v>#VALUE!</v>
      </c>
      <c r="H21" s="93" t="str">
        <f>IFERROR(LOOKUP(W21,$B$21:$C$33,$G$21:$G$33),"")</f>
        <v/>
      </c>
      <c r="I21" s="89" t="str">
        <f t="shared" si="5"/>
        <v/>
      </c>
      <c r="J21" s="24" t="e">
        <f>IF(I21=TRUE,"",LOOKUP(W21,$B$21:$C$33,$E$21:$E$33))</f>
        <v>#N/A</v>
      </c>
      <c r="K21" s="89" t="str">
        <f>IF(H21="","",IFERROR(LOOKUP(W21,$B$37:$C$46,$D$37:$D$46),0))</f>
        <v/>
      </c>
      <c r="L21" s="89" t="str">
        <f>IF(H21="","",COUNT($M$3:M21))</f>
        <v/>
      </c>
      <c r="M21" s="89" t="str">
        <f>IF(H21="","",IF(K21=K20,0,LOOKUP(W21,$B$37:$C$46,$D$37:$D$46)))</f>
        <v/>
      </c>
      <c r="N21" s="24" t="e">
        <f>IF(M21=0,"",VLOOKUP(W21,$B$35:$E$46,4,FALSE))</f>
        <v>#N/A</v>
      </c>
      <c r="O21" s="24" t="str">
        <f>IF(H21="","",IF(I21=TRUE,"",COUNTIF($I$2:I21,FALSE)+1))</f>
        <v/>
      </c>
      <c r="P21" s="89"/>
      <c r="Q21" s="87">
        <v>20</v>
      </c>
      <c r="R21" s="89">
        <f t="shared" si="6"/>
        <v>3</v>
      </c>
      <c r="S21" s="25" t="str">
        <f t="shared" si="0"/>
        <v>Year 3</v>
      </c>
      <c r="T21" s="89" t="str">
        <f>IF(Q21&lt;=$D$12,Q21,"")</f>
        <v/>
      </c>
      <c r="U21" s="89" t="str">
        <f t="shared" si="7"/>
        <v/>
      </c>
      <c r="V21" s="18" t="str">
        <f>IF(T21&lt;=$D$12,"Month "&amp;T21,"")</f>
        <v xml:space="preserve">Month </v>
      </c>
      <c r="W21" s="96">
        <f t="shared" si="8"/>
        <v>606</v>
      </c>
      <c r="X21" s="89" t="str">
        <f>IFERROR(IF(I21=TRUE,ROUND(U21*H21,2)*(W21-W20),ROUND(U21*H20,2)*(LOOKUP(W20,$B$21:$C$33,$C$21:$C$33)-W20)+ROUND(U21*H21,2)*(W21-LOOKUP(W20,$B$21:$C$33,$C$21:$C$33))),"")</f>
        <v/>
      </c>
      <c r="Y21" s="89" t="str">
        <f>IFERROR(IF(U21&lt;Z20,U21,IF(T21=$D$12,U21,Z21-X21+M21)),"")</f>
        <v/>
      </c>
      <c r="Z21" s="89" t="str">
        <f>IF(U21="","",IF(AND(I21=FALSE,J21="No"),Z20,IF(AND(M20&lt;&gt;0,N20="Yes"),ROUND(-PMT(LOOKUP(W20,'Interest Rates'!$A$5:$A$302,'Interest Rates'!$D$5:$D$302)/12,($D$12-T21+1),U21),0),IF(I21=TRUE,Z20,ROUND(-PMT(VLOOKUP(O21,$A$14:$D$28,4,FALSE)/12,($D$12-T21+1),U21),0)))))</f>
        <v/>
      </c>
      <c r="AA21" s="89" t="str">
        <f t="shared" si="9"/>
        <v/>
      </c>
      <c r="AB21" s="89" t="str">
        <f t="shared" si="10"/>
        <v/>
      </c>
      <c r="AC21" s="89"/>
      <c r="AD21" s="86" t="e">
        <f t="shared" si="16"/>
        <v>#VALUE!</v>
      </c>
      <c r="AE21" s="121" t="str">
        <f>IF($D$12="","",IF(AND($AD$7=0,COUNTIF(R:R,AD21)&gt;0),"Year "&amp;AD21+1,IF(COUNTIF(R:R,AD21)&gt;0,"Year "&amp;AD21,"")))</f>
        <v/>
      </c>
      <c r="AF21" s="29" t="str">
        <f t="shared" si="17"/>
        <v/>
      </c>
      <c r="AG21" s="122" t="str">
        <f t="shared" si="15"/>
        <v/>
      </c>
      <c r="AH21" s="116" t="str">
        <f t="shared" si="18"/>
        <v/>
      </c>
      <c r="AI21" s="123" t="str">
        <f t="shared" si="19"/>
        <v/>
      </c>
      <c r="AJ21" s="116" t="str">
        <f t="shared" si="13"/>
        <v/>
      </c>
      <c r="AK21" s="124" t="str">
        <f t="shared" si="14"/>
        <v/>
      </c>
      <c r="AL21" s="120"/>
      <c r="AM21" s="89">
        <f>COUNTIF($AP$2:AP21,AO21)</f>
        <v>7</v>
      </c>
      <c r="AN21" s="103">
        <f t="shared" si="11"/>
        <v>7030</v>
      </c>
      <c r="AO21" s="103">
        <f t="shared" si="1"/>
        <v>4532</v>
      </c>
      <c r="AP21" s="103">
        <f t="shared" si="2"/>
        <v>4532</v>
      </c>
      <c r="AQ21" s="104">
        <v>20</v>
      </c>
      <c r="AR21" s="104" t="str">
        <f t="shared" si="3"/>
        <v/>
      </c>
      <c r="AS21" s="103" t="str">
        <f t="shared" si="4"/>
        <v/>
      </c>
      <c r="AT21" s="89"/>
      <c r="AU21" s="89"/>
      <c r="AV21" s="37"/>
      <c r="AW21" s="131" t="str">
        <f>IF($D$12="","",IF(AR13="","","Year "&amp;AR13))</f>
        <v/>
      </c>
      <c r="AX21" s="35" t="str">
        <f>IF($D$10="","",VLOOKUP(AR13,AR:AS,2,FALSE))</f>
        <v/>
      </c>
      <c r="AY21" s="36" t="str">
        <f t="shared" si="20"/>
        <v/>
      </c>
      <c r="AZ21" s="37"/>
      <c r="BA21" s="38"/>
      <c r="BB21" s="89"/>
      <c r="BC21" s="89">
        <v>2128</v>
      </c>
      <c r="BD21" s="105" t="s">
        <v>81</v>
      </c>
    </row>
    <row r="22" spans="1:56" ht="15" thickBot="1" x14ac:dyDescent="0.35">
      <c r="A22" s="40">
        <v>7</v>
      </c>
      <c r="B22" s="133" t="str">
        <f>IFERROR(IF(INDEX('Interest Rates'!A$3:A$500,MATCH(B21,'Interest Rates'!A$3:A$500)+1)=0,"",INDEX('Interest Rates'!A$3:A$500,MATCH(B21,'Interest Rates'!A$3:A$500)+1)),"")</f>
        <v/>
      </c>
      <c r="C22" s="133" t="str">
        <f>IF(B22="","",IF(B23="",B22+5000,B23-1))</f>
        <v/>
      </c>
      <c r="D22" s="133" t="str">
        <f>IFERROR(LOOKUP(B22,'Interest Rates'!$A$4:A301,'Interest Rates'!$D$4:D301),"")</f>
        <v/>
      </c>
      <c r="E22" s="133"/>
      <c r="F22" s="133"/>
      <c r="G22" s="44" t="str">
        <f t="shared" ref="G22:G33" si="21">IF(B22="","",(D22/365.14))</f>
        <v/>
      </c>
      <c r="H22" s="93" t="str">
        <f>IFERROR(LOOKUP(W22,$B$21:$C$33,$G$21:$G$33),"")</f>
        <v/>
      </c>
      <c r="I22" s="89" t="str">
        <f t="shared" si="5"/>
        <v/>
      </c>
      <c r="J22" s="24" t="e">
        <f>IF(I22=TRUE,"",LOOKUP(W22,$B$21:$C$33,$E$21:$E$33))</f>
        <v>#N/A</v>
      </c>
      <c r="K22" s="89" t="str">
        <f>IF(H22="","",IFERROR(LOOKUP(W22,$B$37:$C$46,$D$37:$D$46),0))</f>
        <v/>
      </c>
      <c r="L22" s="89" t="str">
        <f>IF(H22="","",COUNT($M$3:M22))</f>
        <v/>
      </c>
      <c r="M22" s="89" t="str">
        <f>IF(H22="","",IF(K22=K21,0,LOOKUP(W22,$B$37:$C$46,$D$37:$D$46)))</f>
        <v/>
      </c>
      <c r="N22" s="24" t="e">
        <f>IF(M22=0,"",VLOOKUP(W22,$B$35:$E$46,4,FALSE))</f>
        <v>#N/A</v>
      </c>
      <c r="O22" s="24" t="str">
        <f>IF(H22="","",IF(I22=TRUE,"",COUNTIF($I$2:I22,FALSE)+1))</f>
        <v/>
      </c>
      <c r="P22" s="89"/>
      <c r="Q22" s="24">
        <v>21</v>
      </c>
      <c r="R22" s="89">
        <f t="shared" si="6"/>
        <v>3</v>
      </c>
      <c r="S22" s="25" t="str">
        <f t="shared" si="0"/>
        <v>Year 3</v>
      </c>
      <c r="T22" s="89" t="str">
        <f>IF(Q22&lt;=$D$12,Q22,"")</f>
        <v/>
      </c>
      <c r="U22" s="89" t="str">
        <f t="shared" si="7"/>
        <v/>
      </c>
      <c r="V22" s="18" t="str">
        <f>IF(T22&lt;=$D$12,"Month "&amp;T22,"")</f>
        <v xml:space="preserve">Month </v>
      </c>
      <c r="W22" s="96">
        <f t="shared" si="8"/>
        <v>637</v>
      </c>
      <c r="X22" s="89" t="str">
        <f>IFERROR(IF(I22=TRUE,ROUND(U22*H22,2)*(W22-W21),ROUND(U22*H21,2)*(LOOKUP(W21,$B$21:$C$33,$C$21:$C$33)-W21)+ROUND(U22*H22,2)*(W22-LOOKUP(W21,$B$21:$C$33,$C$21:$C$33))),"")</f>
        <v/>
      </c>
      <c r="Y22" s="89" t="str">
        <f>IFERROR(IF(U22&lt;Z21,U22,IF(T22=$D$12,U22,Z22-X22+M22)),"")</f>
        <v/>
      </c>
      <c r="Z22" s="89" t="str">
        <f>IF(U22="","",IF(AND(I22=FALSE,J22="No"),Z21,IF(AND(M21&lt;&gt;0,N21="Yes"),ROUND(-PMT(LOOKUP(W21,'Interest Rates'!$A$5:$A$302,'Interest Rates'!$D$5:$D$302)/12,($D$12-T22+1),U22),0),IF(I22=TRUE,Z21,ROUND(-PMT(VLOOKUP(O22,$A$14:$D$28,4,FALSE)/12,($D$12-T22+1),U22),0)))))</f>
        <v/>
      </c>
      <c r="AA22" s="89" t="str">
        <f t="shared" si="9"/>
        <v/>
      </c>
      <c r="AB22" s="89" t="str">
        <f t="shared" si="10"/>
        <v/>
      </c>
      <c r="AC22" s="89"/>
      <c r="AD22" s="89"/>
      <c r="AE22" s="134" t="s">
        <v>42</v>
      </c>
      <c r="AF22" s="46"/>
      <c r="AG22" s="116" t="str">
        <f t="shared" si="15"/>
        <v/>
      </c>
      <c r="AH22" s="116" t="str">
        <f t="shared" si="12"/>
        <v/>
      </c>
      <c r="AI22" s="123" t="str">
        <f t="shared" ref="AI22" si="22">IF(AE22="","",SUMIF(S:S,AE22,Y:Y))</f>
        <v/>
      </c>
      <c r="AJ22" s="116" t="str">
        <f t="shared" si="13"/>
        <v/>
      </c>
      <c r="AK22" s="124" t="str">
        <f>IF(AE22="","",COUNTIF(R:R,AD25))</f>
        <v/>
      </c>
      <c r="AL22" s="120"/>
      <c r="AM22" s="89">
        <f>COUNTIF($AP$2:AP22,AO22)</f>
        <v>8</v>
      </c>
      <c r="AN22" s="103">
        <f t="shared" si="11"/>
        <v>7396</v>
      </c>
      <c r="AO22" s="103">
        <f t="shared" si="1"/>
        <v>4532</v>
      </c>
      <c r="AP22" s="103">
        <f t="shared" si="2"/>
        <v>4532</v>
      </c>
      <c r="AQ22" s="104">
        <v>21</v>
      </c>
      <c r="AR22" s="104" t="str">
        <f t="shared" si="3"/>
        <v/>
      </c>
      <c r="AS22" s="103" t="str">
        <f t="shared" si="4"/>
        <v/>
      </c>
      <c r="AT22" s="89"/>
      <c r="AU22" s="89"/>
      <c r="AV22" s="37"/>
      <c r="AW22" s="131" t="str">
        <f>IF($D$12="","",IF(AR14="","","Year "&amp;AR14))</f>
        <v/>
      </c>
      <c r="AX22" s="35" t="str">
        <f>IF($D$10="","",VLOOKUP(AR14,AR:AS,2,FALSE))</f>
        <v/>
      </c>
      <c r="AY22" s="36" t="str">
        <f t="shared" si="20"/>
        <v/>
      </c>
      <c r="AZ22" s="37"/>
      <c r="BA22" s="38"/>
      <c r="BB22" s="89"/>
      <c r="BC22" s="89">
        <v>2130</v>
      </c>
      <c r="BD22" s="105" t="s">
        <v>82</v>
      </c>
    </row>
    <row r="23" spans="1:56" ht="15" thickBot="1" x14ac:dyDescent="0.35">
      <c r="A23" s="40">
        <v>8</v>
      </c>
      <c r="B23" s="133" t="str">
        <f>IFERROR(IF(INDEX('Interest Rates'!A$3:A$500,MATCH(B22,'Interest Rates'!A$3:A$500)+1)=0,"",INDEX('Interest Rates'!A$3:A$500,MATCH(B22,'Interest Rates'!A$3:A$500)+1)),"")</f>
        <v/>
      </c>
      <c r="C23" s="133" t="str">
        <f t="shared" ref="C23:C33" si="23">IF(B23="","",IF(B24="",B23+5000,B24-1))</f>
        <v/>
      </c>
      <c r="D23" s="133" t="str">
        <f>IFERROR(LOOKUP(B23,'Interest Rates'!$A$4:A302,'Interest Rates'!$D$4:D302),"")</f>
        <v/>
      </c>
      <c r="E23" s="133"/>
      <c r="F23" s="133"/>
      <c r="G23" s="44" t="str">
        <f t="shared" si="21"/>
        <v/>
      </c>
      <c r="H23" s="93" t="str">
        <f>IFERROR(LOOKUP(W23,$B$21:$C$33,$G$21:$G$33),"")</f>
        <v/>
      </c>
      <c r="I23" s="89" t="str">
        <f t="shared" si="5"/>
        <v/>
      </c>
      <c r="J23" s="24" t="e">
        <f>IF(I23=TRUE,"",LOOKUP(W23,$B$21:$C$33,$E$21:$E$33))</f>
        <v>#N/A</v>
      </c>
      <c r="K23" s="89" t="str">
        <f>IF(H23="","",IFERROR(LOOKUP(W23,$B$37:$C$46,$D$37:$D$46),0))</f>
        <v/>
      </c>
      <c r="L23" s="89" t="str">
        <f>IF(H23="","",COUNT($M$3:M23))</f>
        <v/>
      </c>
      <c r="M23" s="89" t="str">
        <f>IF(H23="","",IF(K23=K22,0,LOOKUP(W23,$B$37:$C$46,$D$37:$D$46)))</f>
        <v/>
      </c>
      <c r="N23" s="24" t="e">
        <f>IF(M23=0,"",VLOOKUP(W23,$B$35:$E$46,4,FALSE))</f>
        <v>#N/A</v>
      </c>
      <c r="O23" s="24" t="str">
        <f>IF(H23="","",IF(I23=TRUE,"",COUNTIF($I$2:I23,FALSE)+1))</f>
        <v/>
      </c>
      <c r="P23" s="89"/>
      <c r="Q23" s="87">
        <v>22</v>
      </c>
      <c r="R23" s="89">
        <f t="shared" si="6"/>
        <v>3</v>
      </c>
      <c r="S23" s="25" t="str">
        <f t="shared" si="0"/>
        <v>Year 3</v>
      </c>
      <c r="T23" s="89" t="str">
        <f>IF(Q23&lt;=$D$12,Q23,"")</f>
        <v/>
      </c>
      <c r="U23" s="89" t="str">
        <f t="shared" si="7"/>
        <v/>
      </c>
      <c r="V23" s="18" t="str">
        <f>IF(T23&lt;=$D$12,"Month "&amp;T23,"")</f>
        <v xml:space="preserve">Month </v>
      </c>
      <c r="W23" s="96">
        <f t="shared" si="8"/>
        <v>667</v>
      </c>
      <c r="X23" s="89" t="str">
        <f>IFERROR(IF(I23=TRUE,ROUND(U23*H23,2)*(W23-W22),ROUND(U23*H22,2)*(LOOKUP(W22,$B$21:$C$33,$C$21:$C$33)-W22)+ROUND(U23*H23,2)*(W23-LOOKUP(W22,$B$21:$C$33,$C$21:$C$33))),"")</f>
        <v/>
      </c>
      <c r="Y23" s="89" t="str">
        <f>IFERROR(IF(U23&lt;Z22,U23,IF(T23=$D$12,U23,Z23-X23+M23)),"")</f>
        <v/>
      </c>
      <c r="Z23" s="89" t="str">
        <f>IF(U23="","",IF(AND(I23=FALSE,J23="No"),Z22,IF(AND(M22&lt;&gt;0,N22="Yes"),ROUND(-PMT(LOOKUP(W22,'Interest Rates'!$A$5:$A$302,'Interest Rates'!$D$5:$D$302)/12,($D$12-T23+1),U23),0),IF(I23=TRUE,Z22,ROUND(-PMT(VLOOKUP(O23,$A$14:$D$28,4,FALSE)/12,($D$12-T23+1),U23),0)))))</f>
        <v/>
      </c>
      <c r="AA23" s="89" t="str">
        <f t="shared" si="9"/>
        <v/>
      </c>
      <c r="AB23" s="89" t="str">
        <f t="shared" si="10"/>
        <v/>
      </c>
      <c r="AC23" s="89"/>
      <c r="AD23" s="89"/>
      <c r="AE23" s="135"/>
      <c r="AF23" s="47"/>
      <c r="AG23" s="136">
        <f>SUM(AG7:AG22)</f>
        <v>0</v>
      </c>
      <c r="AH23" s="137">
        <f>SUM(AH7:AH22)</f>
        <v>0</v>
      </c>
      <c r="AI23" s="138">
        <f>SUM(AI7:AI22)</f>
        <v>0</v>
      </c>
      <c r="AJ23" s="137">
        <f>SUM(AJ7:AJ22)</f>
        <v>0</v>
      </c>
      <c r="AK23" s="139">
        <f>SUM(AK7:AK22)</f>
        <v>0</v>
      </c>
      <c r="AL23" s="128"/>
      <c r="AM23" s="89">
        <f>COUNTIF($AP$2:AP23,AO23)</f>
        <v>9</v>
      </c>
      <c r="AN23" s="103">
        <f t="shared" si="11"/>
        <v>7761</v>
      </c>
      <c r="AO23" s="103">
        <f t="shared" si="1"/>
        <v>4532</v>
      </c>
      <c r="AP23" s="103">
        <f t="shared" si="2"/>
        <v>4532</v>
      </c>
      <c r="AQ23" s="104">
        <v>22</v>
      </c>
      <c r="AR23" s="104" t="str">
        <f t="shared" si="3"/>
        <v/>
      </c>
      <c r="AS23" s="103" t="str">
        <f t="shared" si="4"/>
        <v/>
      </c>
      <c r="AT23" s="89"/>
      <c r="AU23" s="89"/>
      <c r="AV23" s="37"/>
      <c r="AW23" s="131" t="str">
        <f>IF($D$12="","",IF(AR15="","","Year "&amp;AR15))</f>
        <v/>
      </c>
      <c r="AX23" s="35" t="str">
        <f>IF($D$10="","",VLOOKUP(AR15,AR:AS,2,FALSE))</f>
        <v/>
      </c>
      <c r="AY23" s="36" t="str">
        <f t="shared" si="20"/>
        <v/>
      </c>
      <c r="AZ23" s="89"/>
      <c r="BA23" s="89"/>
      <c r="BB23" s="89"/>
      <c r="BC23" s="89">
        <v>2132</v>
      </c>
      <c r="BD23" s="105" t="s">
        <v>83</v>
      </c>
    </row>
    <row r="24" spans="1:56" x14ac:dyDescent="0.3">
      <c r="A24" s="40">
        <v>9</v>
      </c>
      <c r="B24" s="133" t="str">
        <f>IFERROR(IF(INDEX('Interest Rates'!A$3:A$500,MATCH(B23,'Interest Rates'!A$3:A$500)+1)=0,"",INDEX('Interest Rates'!A$3:A$500,MATCH(B23,'Interest Rates'!A$3:A$500)+1)),"")</f>
        <v/>
      </c>
      <c r="C24" s="133" t="str">
        <f t="shared" si="23"/>
        <v/>
      </c>
      <c r="D24" s="133" t="str">
        <f>IFERROR(LOOKUP(B24,'Interest Rates'!$A$4:A303,'Interest Rates'!$D$4:D303),"")</f>
        <v/>
      </c>
      <c r="E24" s="133"/>
      <c r="F24" s="133"/>
      <c r="G24" s="44" t="str">
        <f t="shared" si="21"/>
        <v/>
      </c>
      <c r="H24" s="93" t="str">
        <f>IFERROR(LOOKUP(W24,$B$21:$C$33,$G$21:$G$33),"")</f>
        <v/>
      </c>
      <c r="I24" s="89" t="str">
        <f t="shared" si="5"/>
        <v/>
      </c>
      <c r="J24" s="24" t="e">
        <f>IF(I24=TRUE,"",LOOKUP(W24,$B$21:$C$33,$E$21:$E$33))</f>
        <v>#N/A</v>
      </c>
      <c r="K24" s="89" t="str">
        <f>IF(H24="","",IFERROR(LOOKUP(W24,$B$37:$C$46,$D$37:$D$46),0))</f>
        <v/>
      </c>
      <c r="L24" s="89" t="str">
        <f>IF(H24="","",COUNT($M$3:M24))</f>
        <v/>
      </c>
      <c r="M24" s="89" t="str">
        <f>IF(H24="","",IF(K24=K23,0,LOOKUP(W24,$B$37:$C$46,$D$37:$D$46)))</f>
        <v/>
      </c>
      <c r="N24" s="24" t="e">
        <f>IF(M24=0,"",VLOOKUP(W24,$B$35:$E$46,4,FALSE))</f>
        <v>#N/A</v>
      </c>
      <c r="O24" s="24" t="str">
        <f>IF(H24="","",IF(I24=TRUE,"",COUNTIF($I$2:I24,FALSE)+1))</f>
        <v/>
      </c>
      <c r="P24" s="89"/>
      <c r="Q24" s="24">
        <v>23</v>
      </c>
      <c r="R24" s="89">
        <f t="shared" si="6"/>
        <v>3</v>
      </c>
      <c r="S24" s="25" t="str">
        <f t="shared" si="0"/>
        <v>Year 3</v>
      </c>
      <c r="T24" s="89" t="str">
        <f>IF(Q24&lt;=$D$12,Q24,"")</f>
        <v/>
      </c>
      <c r="U24" s="89" t="str">
        <f t="shared" si="7"/>
        <v/>
      </c>
      <c r="V24" s="18" t="str">
        <f>IF(T24&lt;=$D$12,"Month "&amp;T24,"")</f>
        <v xml:space="preserve">Month </v>
      </c>
      <c r="W24" s="96">
        <f t="shared" si="8"/>
        <v>698</v>
      </c>
      <c r="X24" s="89" t="str">
        <f>IFERROR(IF(I24=TRUE,ROUND(U24*H24,2)*(W24-W23),ROUND(U24*H23,2)*(LOOKUP(W23,$B$21:$C$33,$C$21:$C$33)-W23)+ROUND(U24*H24,2)*(W24-LOOKUP(W23,$B$21:$C$33,$C$21:$C$33))),"")</f>
        <v/>
      </c>
      <c r="Y24" s="89" t="str">
        <f>IFERROR(IF(U24&lt;Z23,U24,IF(T24=$D$12,U24,Z24-X24+M24)),"")</f>
        <v/>
      </c>
      <c r="Z24" s="89" t="str">
        <f>IF(U24="","",IF(AND(I24=FALSE,J24="No"),Z23,IF(AND(M23&lt;&gt;0,N23="Yes"),ROUND(-PMT(LOOKUP(W23,'Interest Rates'!$A$5:$A$302,'Interest Rates'!$D$5:$D$302)/12,($D$12-T24+1),U24),0),IF(I24=TRUE,Z23,ROUND(-PMT(VLOOKUP(O24,$A$14:$D$28,4,FALSE)/12,($D$12-T24+1),U24),0)))))</f>
        <v/>
      </c>
      <c r="AA24" s="89" t="str">
        <f t="shared" si="9"/>
        <v/>
      </c>
      <c r="AB24" s="89" t="str">
        <f t="shared" si="10"/>
        <v/>
      </c>
      <c r="AC24" s="89"/>
      <c r="AD24" s="89"/>
      <c r="AE24" s="140"/>
      <c r="AF24" s="48"/>
      <c r="AG24" s="128"/>
      <c r="AH24" s="128"/>
      <c r="AI24" s="128"/>
      <c r="AJ24" s="128"/>
      <c r="AK24" s="141"/>
      <c r="AL24" s="128"/>
      <c r="AM24" s="89">
        <f>COUNTIF($AP$2:AP24,AO24)</f>
        <v>10</v>
      </c>
      <c r="AN24" s="103">
        <f t="shared" si="11"/>
        <v>8126</v>
      </c>
      <c r="AO24" s="103">
        <f t="shared" si="1"/>
        <v>4532</v>
      </c>
      <c r="AP24" s="103">
        <f t="shared" si="2"/>
        <v>4532</v>
      </c>
      <c r="AQ24" s="104">
        <v>23</v>
      </c>
      <c r="AR24" s="104" t="str">
        <f t="shared" si="3"/>
        <v/>
      </c>
      <c r="AS24" s="103" t="str">
        <f t="shared" si="4"/>
        <v/>
      </c>
      <c r="AT24" s="89"/>
      <c r="AU24" s="89"/>
      <c r="AV24" s="89"/>
      <c r="AW24" s="131" t="str">
        <f t="shared" ref="AW24:AW46" si="24">IF(AR16="","","Year "&amp;AR16)</f>
        <v/>
      </c>
      <c r="AX24" s="35" t="str">
        <f>IF($D$10="","",VLOOKUP(AR16,AR:AS,2,FALSE))</f>
        <v/>
      </c>
      <c r="AY24" s="36" t="str">
        <f t="shared" si="20"/>
        <v/>
      </c>
      <c r="AZ24" s="89"/>
      <c r="BA24" s="89"/>
      <c r="BB24" s="89"/>
      <c r="BC24" s="89">
        <v>2134</v>
      </c>
      <c r="BD24" s="105" t="s">
        <v>84</v>
      </c>
    </row>
    <row r="25" spans="1:56" x14ac:dyDescent="0.3">
      <c r="A25" s="40">
        <v>10</v>
      </c>
      <c r="B25" s="133" t="str">
        <f>IFERROR(IF(INDEX('Interest Rates'!A$3:A$500,MATCH(B24,'Interest Rates'!A$3:A$500)+1)=0,"",INDEX('Interest Rates'!A$3:A$500,MATCH(B24,'Interest Rates'!A$3:A$500)+1)),"")</f>
        <v/>
      </c>
      <c r="C25" s="133" t="str">
        <f t="shared" si="23"/>
        <v/>
      </c>
      <c r="D25" s="133" t="str">
        <f>IFERROR(LOOKUP(B25,'Interest Rates'!$A$4:A304,'Interest Rates'!$D$4:D304),"")</f>
        <v/>
      </c>
      <c r="E25" s="133"/>
      <c r="F25" s="133"/>
      <c r="G25" s="44" t="str">
        <f t="shared" si="21"/>
        <v/>
      </c>
      <c r="H25" s="93" t="str">
        <f>IFERROR(LOOKUP(W25,$B$21:$C$33,$G$21:$G$33),"")</f>
        <v/>
      </c>
      <c r="I25" s="89" t="str">
        <f t="shared" si="5"/>
        <v/>
      </c>
      <c r="J25" s="24" t="e">
        <f>IF(I25=TRUE,"",LOOKUP(W25,$B$21:$C$33,$E$21:$E$33))</f>
        <v>#N/A</v>
      </c>
      <c r="K25" s="89" t="str">
        <f>IF(H25="","",IFERROR(LOOKUP(W25,$B$37:$C$46,$D$37:$D$46),0))</f>
        <v/>
      </c>
      <c r="L25" s="89" t="str">
        <f>IF(H25="","",COUNT($M$3:M25))</f>
        <v/>
      </c>
      <c r="M25" s="89" t="str">
        <f>IF(H25="","",IF(K25=K24,0,LOOKUP(W25,$B$37:$C$46,$D$37:$D$46)))</f>
        <v/>
      </c>
      <c r="N25" s="24" t="e">
        <f>IF(M25=0,"",VLOOKUP(W25,$B$35:$E$46,4,FALSE))</f>
        <v>#N/A</v>
      </c>
      <c r="O25" s="24" t="str">
        <f>IF(H25="","",IF(I25=TRUE,"",COUNTIF($I$2:I25,FALSE)+1))</f>
        <v/>
      </c>
      <c r="P25" s="89"/>
      <c r="Q25" s="87">
        <v>24</v>
      </c>
      <c r="R25" s="89">
        <f t="shared" si="6"/>
        <v>3</v>
      </c>
      <c r="S25" s="25" t="str">
        <f t="shared" si="0"/>
        <v>Year 3</v>
      </c>
      <c r="T25" s="89" t="str">
        <f>IF(Q25&lt;=$D$12,Q25,"")</f>
        <v/>
      </c>
      <c r="U25" s="89" t="str">
        <f t="shared" si="7"/>
        <v/>
      </c>
      <c r="V25" s="18" t="str">
        <f>IF(T25&lt;=$D$12,"Month "&amp;T25,"")</f>
        <v xml:space="preserve">Month </v>
      </c>
      <c r="W25" s="96">
        <f t="shared" si="8"/>
        <v>728</v>
      </c>
      <c r="X25" s="89" t="str">
        <f>IFERROR(IF(I25=TRUE,ROUND(U25*H25,2)*(W25-W24),ROUND(U25*H24,2)*(LOOKUP(W24,$B$21:$C$33,$C$21:$C$33)-W24)+ROUND(U25*H25,2)*(W25-LOOKUP(W24,$B$21:$C$33,$C$21:$C$33))),"")</f>
        <v/>
      </c>
      <c r="Y25" s="89" t="str">
        <f>IFERROR(IF(U25&lt;Z24,U25,IF(T25=$D$12,U25,Z25-X25+M25)),"")</f>
        <v/>
      </c>
      <c r="Z25" s="89" t="str">
        <f>IF(U25="","",IF(AND(I25=FALSE,J25="No"),Z24,IF(AND(M24&lt;&gt;0,N24="Yes"),ROUND(-PMT(LOOKUP(W24,'Interest Rates'!$A$5:$A$302,'Interest Rates'!$D$5:$D$302)/12,($D$12-T25+1),U25),0),IF(I25=TRUE,Z24,ROUND(-PMT(VLOOKUP(O25,$A$14:$D$28,4,FALSE)/12,($D$12-T25+1),U25),0)))))</f>
        <v/>
      </c>
      <c r="AA25" s="89" t="str">
        <f t="shared" si="9"/>
        <v/>
      </c>
      <c r="AB25" s="89" t="str">
        <f t="shared" si="10"/>
        <v/>
      </c>
      <c r="AC25" s="89"/>
      <c r="AD25" s="97"/>
      <c r="AE25" s="49"/>
      <c r="AF25" s="142"/>
      <c r="AG25" s="142"/>
      <c r="AH25" s="128"/>
      <c r="AI25" s="128"/>
      <c r="AJ25" s="128"/>
      <c r="AK25" s="141"/>
      <c r="AL25" s="128"/>
      <c r="AM25" s="89">
        <f>COUNTIF($AP$2:AP25,AO25)</f>
        <v>11</v>
      </c>
      <c r="AN25" s="103">
        <f t="shared" si="11"/>
        <v>8491</v>
      </c>
      <c r="AO25" s="103">
        <f t="shared" si="1"/>
        <v>4532</v>
      </c>
      <c r="AP25" s="103">
        <f t="shared" si="2"/>
        <v>4532</v>
      </c>
      <c r="AQ25" s="104">
        <v>24</v>
      </c>
      <c r="AR25" s="104" t="str">
        <f t="shared" si="3"/>
        <v/>
      </c>
      <c r="AS25" s="103" t="str">
        <f t="shared" si="4"/>
        <v/>
      </c>
      <c r="AT25" s="89"/>
      <c r="AU25" s="89"/>
      <c r="AV25" s="89"/>
      <c r="AW25" s="131" t="str">
        <f t="shared" si="24"/>
        <v/>
      </c>
      <c r="AX25" s="35" t="str">
        <f>IF($D$10="","",VLOOKUP(AR17,AR:AS,2,FALSE))</f>
        <v/>
      </c>
      <c r="AY25" s="36" t="str">
        <f t="shared" si="20"/>
        <v/>
      </c>
      <c r="AZ25" s="89"/>
      <c r="BA25" s="89"/>
      <c r="BB25" s="89"/>
      <c r="BC25" s="89">
        <v>2136</v>
      </c>
      <c r="BD25" s="105" t="s">
        <v>85</v>
      </c>
    </row>
    <row r="26" spans="1:56" x14ac:dyDescent="0.3">
      <c r="A26" s="40">
        <v>11</v>
      </c>
      <c r="B26" s="133" t="str">
        <f>IFERROR(IF(INDEX('Interest Rates'!A$3:A$500,MATCH(B25,'Interest Rates'!A$3:A$500)+1)=0,"",INDEX('Interest Rates'!A$3:A$500,MATCH(B25,'Interest Rates'!A$3:A$500)+1)),"")</f>
        <v/>
      </c>
      <c r="C26" s="133" t="str">
        <f t="shared" si="23"/>
        <v/>
      </c>
      <c r="D26" s="133" t="str">
        <f>IFERROR(LOOKUP(B26,'Interest Rates'!$A$4:A305,'Interest Rates'!$D$4:D305),"")</f>
        <v/>
      </c>
      <c r="E26" s="133"/>
      <c r="F26" s="133"/>
      <c r="G26" s="44" t="str">
        <f t="shared" si="21"/>
        <v/>
      </c>
      <c r="H26" s="93" t="str">
        <f>IFERROR(LOOKUP(W26,$B$21:$C$33,$G$21:$G$33),"")</f>
        <v/>
      </c>
      <c r="I26" s="89" t="str">
        <f t="shared" si="5"/>
        <v/>
      </c>
      <c r="J26" s="24" t="e">
        <f>IF(I26=TRUE,"",LOOKUP(W26,$B$21:$C$33,$E$21:$E$33))</f>
        <v>#N/A</v>
      </c>
      <c r="K26" s="89" t="str">
        <f>IF(H26="","",IFERROR(LOOKUP(W26,$B$37:$C$46,$D$37:$D$46),0))</f>
        <v/>
      </c>
      <c r="L26" s="89" t="str">
        <f>IF(H26="","",COUNT($M$3:M26))</f>
        <v/>
      </c>
      <c r="M26" s="89" t="str">
        <f>IF(H26="","",IF(K26=K25,0,LOOKUP(W26,$B$37:$C$46,$D$37:$D$46)))</f>
        <v/>
      </c>
      <c r="N26" s="24" t="e">
        <f>IF(M26=0,"",VLOOKUP(W26,$B$35:$E$46,4,FALSE))</f>
        <v>#N/A</v>
      </c>
      <c r="O26" s="24" t="str">
        <f>IF(H26="","",IF(I26=TRUE,"",COUNTIF($I$2:I26,FALSE)+1))</f>
        <v/>
      </c>
      <c r="P26" s="89"/>
      <c r="Q26" s="24">
        <v>25</v>
      </c>
      <c r="R26" s="89">
        <f t="shared" si="6"/>
        <v>3</v>
      </c>
      <c r="S26" s="25" t="str">
        <f t="shared" si="0"/>
        <v>Year 3</v>
      </c>
      <c r="T26" s="89" t="str">
        <f>IF(Q26&lt;=$D$12,Q26,"")</f>
        <v/>
      </c>
      <c r="U26" s="89" t="str">
        <f t="shared" si="7"/>
        <v/>
      </c>
      <c r="V26" s="18" t="str">
        <f>IF(T26&lt;=$D$12,"Month "&amp;T26,"")</f>
        <v xml:space="preserve">Month </v>
      </c>
      <c r="W26" s="96">
        <f t="shared" si="8"/>
        <v>759</v>
      </c>
      <c r="X26" s="89" t="str">
        <f>IFERROR(IF(I26=TRUE,ROUND(U26*H26,2)*(W26-W25),ROUND(U26*H25,2)*(LOOKUP(W25,$B$21:$C$33,$C$21:$C$33)-W25)+ROUND(U26*H26,2)*(W26-LOOKUP(W25,$B$21:$C$33,$C$21:$C$33))),"")</f>
        <v/>
      </c>
      <c r="Y26" s="89" t="str">
        <f>IFERROR(IF(U26&lt;Z25,U26,IF(T26=$D$12,U26,Z26-X26+M26)),"")</f>
        <v/>
      </c>
      <c r="Z26" s="89" t="str">
        <f>IF(U26="","",IF(AND(I26=FALSE,J26="No"),Z25,IF(AND(M25&lt;&gt;0,N25="Yes"),ROUND(-PMT(LOOKUP(W25,'Interest Rates'!$A$5:$A$302,'Interest Rates'!$D$5:$D$302)/12,($D$12-T26+1),U26),0),IF(I26=TRUE,Z25,ROUND(-PMT(VLOOKUP(O26,$A$14:$D$28,4,FALSE)/12,($D$12-T26+1),U26),0)))))</f>
        <v/>
      </c>
      <c r="AA26" s="89" t="str">
        <f t="shared" si="9"/>
        <v/>
      </c>
      <c r="AB26" s="89" t="str">
        <f t="shared" si="10"/>
        <v/>
      </c>
      <c r="AC26" s="89"/>
      <c r="AD26" s="97"/>
      <c r="AE26" s="50" t="s">
        <v>43</v>
      </c>
      <c r="AF26" s="51" t="s">
        <v>44</v>
      </c>
      <c r="AG26" s="52"/>
      <c r="AH26" s="52"/>
      <c r="AI26" s="52"/>
      <c r="AJ26" s="53"/>
      <c r="AK26" s="54"/>
      <c r="AL26" s="53"/>
      <c r="AM26" s="89">
        <f>COUNTIF($AP$2:AP26,AO26)</f>
        <v>12</v>
      </c>
      <c r="AN26" s="103">
        <f t="shared" si="11"/>
        <v>8857</v>
      </c>
      <c r="AO26" s="103">
        <f t="shared" si="1"/>
        <v>4532</v>
      </c>
      <c r="AP26" s="103">
        <f t="shared" si="2"/>
        <v>4532</v>
      </c>
      <c r="AQ26" s="104">
        <v>25</v>
      </c>
      <c r="AR26" s="104" t="str">
        <f t="shared" si="3"/>
        <v/>
      </c>
      <c r="AS26" s="103" t="str">
        <f t="shared" si="4"/>
        <v/>
      </c>
      <c r="AT26" s="89"/>
      <c r="AU26" s="89"/>
      <c r="AV26" s="89"/>
      <c r="AW26" s="131" t="str">
        <f t="shared" si="24"/>
        <v/>
      </c>
      <c r="AX26" s="35" t="str">
        <f>IF($D$10="","",VLOOKUP(AR18,AR:AS,2,FALSE))</f>
        <v/>
      </c>
      <c r="AY26" s="36" t="str">
        <f t="shared" si="20"/>
        <v/>
      </c>
      <c r="AZ26" s="89"/>
      <c r="BA26" s="89"/>
      <c r="BB26" s="89"/>
      <c r="BC26" s="89">
        <v>2137</v>
      </c>
      <c r="BD26" s="105" t="s">
        <v>86</v>
      </c>
    </row>
    <row r="27" spans="1:56" x14ac:dyDescent="0.3">
      <c r="A27" s="40">
        <v>12</v>
      </c>
      <c r="B27" s="133" t="str">
        <f>IFERROR(IF(INDEX('Interest Rates'!A$3:A$500,MATCH(B26,'Interest Rates'!A$3:A$500)+1)=0,"",INDEX('Interest Rates'!A$3:A$500,MATCH(B26,'Interest Rates'!A$3:A$500)+1)),"")</f>
        <v/>
      </c>
      <c r="C27" s="133" t="str">
        <f t="shared" si="23"/>
        <v/>
      </c>
      <c r="D27" s="133" t="str">
        <f>IFERROR(LOOKUP(B27,'Interest Rates'!$A$4:A306,'Interest Rates'!$D$4:D306),"")</f>
        <v/>
      </c>
      <c r="E27" s="133"/>
      <c r="F27" s="133"/>
      <c r="G27" s="44" t="str">
        <f t="shared" si="21"/>
        <v/>
      </c>
      <c r="H27" s="93" t="str">
        <f>IFERROR(LOOKUP(W27,$B$21:$C$33,$G$21:$G$33),"")</f>
        <v/>
      </c>
      <c r="I27" s="89" t="str">
        <f t="shared" si="5"/>
        <v/>
      </c>
      <c r="J27" s="24" t="e">
        <f>IF(I27=TRUE,"",LOOKUP(W27,$B$21:$C$33,$E$21:$E$33))</f>
        <v>#N/A</v>
      </c>
      <c r="K27" s="89" t="str">
        <f>IF(H27="","",IFERROR(LOOKUP(W27,$B$37:$C$46,$D$37:$D$46),0))</f>
        <v/>
      </c>
      <c r="L27" s="89" t="str">
        <f>IF(H27="","",COUNT($M$3:M27))</f>
        <v/>
      </c>
      <c r="M27" s="89" t="str">
        <f>IF(H27="","",IF(K27=K26,0,LOOKUP(W27,$B$37:$C$46,$D$37:$D$46)))</f>
        <v/>
      </c>
      <c r="N27" s="24" t="e">
        <f>IF(M27=0,"",VLOOKUP(W27,$B$35:$E$46,4,FALSE))</f>
        <v>#N/A</v>
      </c>
      <c r="O27" s="24" t="str">
        <f>IF(H27="","",IF(I27=TRUE,"",COUNTIF($I$2:I27,FALSE)+1))</f>
        <v/>
      </c>
      <c r="P27" s="89"/>
      <c r="Q27" s="87">
        <v>26</v>
      </c>
      <c r="R27" s="89">
        <f t="shared" si="6"/>
        <v>3</v>
      </c>
      <c r="S27" s="25" t="str">
        <f t="shared" si="0"/>
        <v>Year 3</v>
      </c>
      <c r="T27" s="89" t="str">
        <f>IF(Q27&lt;=$D$12,Q27,"")</f>
        <v/>
      </c>
      <c r="U27" s="89" t="str">
        <f t="shared" si="7"/>
        <v/>
      </c>
      <c r="V27" s="18" t="str">
        <f>IF(T27&lt;=$D$12,"Month "&amp;T27,"")</f>
        <v xml:space="preserve">Month </v>
      </c>
      <c r="W27" s="96">
        <f t="shared" si="8"/>
        <v>790</v>
      </c>
      <c r="X27" s="89" t="str">
        <f>IFERROR(IF(I27=TRUE,ROUND(U27*H27,2)*(W27-W26),ROUND(U27*H26,2)*(LOOKUP(W26,$B$21:$C$33,$C$21:$C$33)-W26)+ROUND(U27*H27,2)*(W27-LOOKUP(W26,$B$21:$C$33,$C$21:$C$33))),"")</f>
        <v/>
      </c>
      <c r="Y27" s="89" t="str">
        <f>IFERROR(IF(U27&lt;Z26,U27,IF(T27=$D$12,U27,Z27-X27+M27)),"")</f>
        <v/>
      </c>
      <c r="Z27" s="89" t="str">
        <f>IF(U27="","",IF(AND(I27=FALSE,J27="No"),Z26,IF(AND(M26&lt;&gt;0,N26="Yes"),ROUND(-PMT(LOOKUP(W26,'Interest Rates'!$A$5:$A$302,'Interest Rates'!$D$5:$D$302)/12,($D$12-T27+1),U27),0),IF(I27=TRUE,Z26,ROUND(-PMT(VLOOKUP(O27,$A$14:$D$28,4,FALSE)/12,($D$12-T27+1),U27),0)))))</f>
        <v/>
      </c>
      <c r="AA27" s="89" t="str">
        <f t="shared" si="9"/>
        <v/>
      </c>
      <c r="AB27" s="89" t="str">
        <f t="shared" si="10"/>
        <v/>
      </c>
      <c r="AC27" s="89"/>
      <c r="AD27" s="97"/>
      <c r="AE27" s="55">
        <f>D11</f>
        <v>0</v>
      </c>
      <c r="AF27" s="56">
        <f>D10</f>
        <v>0</v>
      </c>
      <c r="AG27" s="52"/>
      <c r="AH27" s="57" t="s">
        <v>45</v>
      </c>
      <c r="AI27" s="57"/>
      <c r="AJ27" s="58"/>
      <c r="AK27" s="59"/>
      <c r="AL27" s="58"/>
      <c r="AM27" s="89">
        <f>COUNTIF($AP$2:AP27,AO27)</f>
        <v>13</v>
      </c>
      <c r="AN27" s="103">
        <f t="shared" si="11"/>
        <v>9222</v>
      </c>
      <c r="AO27" s="103">
        <f t="shared" si="1"/>
        <v>4532</v>
      </c>
      <c r="AP27" s="103">
        <f t="shared" si="2"/>
        <v>4532</v>
      </c>
      <c r="AQ27" s="104">
        <v>26</v>
      </c>
      <c r="AR27" s="104" t="str">
        <f t="shared" si="3"/>
        <v/>
      </c>
      <c r="AS27" s="103" t="str">
        <f t="shared" si="4"/>
        <v/>
      </c>
      <c r="AT27" s="89"/>
      <c r="AU27" s="89"/>
      <c r="AV27" s="89"/>
      <c r="AW27" s="131" t="str">
        <f t="shared" si="24"/>
        <v/>
      </c>
      <c r="AX27" s="35" t="str">
        <f>IF($D$10="","",VLOOKUP(AR19,AR:AS,2,FALSE))</f>
        <v/>
      </c>
      <c r="AY27" s="36" t="str">
        <f t="shared" si="20"/>
        <v/>
      </c>
      <c r="AZ27" s="89"/>
      <c r="BA27" s="89"/>
      <c r="BB27" s="89"/>
      <c r="BC27" s="89">
        <v>2138</v>
      </c>
      <c r="BD27" s="105" t="s">
        <v>87</v>
      </c>
    </row>
    <row r="28" spans="1:56" ht="15" thickBot="1" x14ac:dyDescent="0.35">
      <c r="A28" s="40">
        <v>13</v>
      </c>
      <c r="B28" s="133" t="str">
        <f>IFERROR(IF(INDEX('Interest Rates'!A$3:A$500,MATCH(B27,'Interest Rates'!A$3:A$500)+1)=0,"",INDEX('Interest Rates'!A$3:A$500,MATCH(B27,'Interest Rates'!A$3:A$500)+1)),"")</f>
        <v/>
      </c>
      <c r="C28" s="133" t="str">
        <f t="shared" si="23"/>
        <v/>
      </c>
      <c r="D28" s="133" t="str">
        <f>IFERROR(LOOKUP(B28,'Interest Rates'!$A$4:A307,'Interest Rates'!$D$4:D307),"")</f>
        <v/>
      </c>
      <c r="E28" s="133"/>
      <c r="F28" s="133"/>
      <c r="G28" s="44" t="str">
        <f t="shared" si="21"/>
        <v/>
      </c>
      <c r="H28" s="93" t="str">
        <f>IFERROR(LOOKUP(W28,$B$21:$C$33,$G$21:$G$33),"")</f>
        <v/>
      </c>
      <c r="I28" s="89" t="str">
        <f t="shared" si="5"/>
        <v/>
      </c>
      <c r="J28" s="24" t="e">
        <f>IF(I28=TRUE,"",LOOKUP(W28,$B$21:$C$33,$E$21:$E$33))</f>
        <v>#N/A</v>
      </c>
      <c r="K28" s="89" t="str">
        <f>IF(H28="","",IFERROR(LOOKUP(W28,$B$37:$C$46,$D$37:$D$46),0))</f>
        <v/>
      </c>
      <c r="L28" s="89" t="str">
        <f>IF(H28="","",COUNT($M$3:M28))</f>
        <v/>
      </c>
      <c r="M28" s="89" t="str">
        <f>IF(H28="","",IF(K28=K27,0,LOOKUP(W28,$B$37:$C$46,$D$37:$D$46)))</f>
        <v/>
      </c>
      <c r="N28" s="24" t="e">
        <f>IF(M28=0,"",VLOOKUP(W28,$B$35:$E$46,4,FALSE))</f>
        <v>#N/A</v>
      </c>
      <c r="O28" s="24" t="str">
        <f>IF(H28="","",IF(I28=TRUE,"",COUNTIF($I$2:I28,FALSE)+1))</f>
        <v/>
      </c>
      <c r="P28" s="89"/>
      <c r="Q28" s="24">
        <v>27</v>
      </c>
      <c r="R28" s="89">
        <f t="shared" si="6"/>
        <v>3</v>
      </c>
      <c r="S28" s="25" t="str">
        <f t="shared" si="0"/>
        <v>Year 3</v>
      </c>
      <c r="T28" s="89" t="str">
        <f>IF(Q28&lt;=$D$12,Q28,"")</f>
        <v/>
      </c>
      <c r="U28" s="89" t="str">
        <f t="shared" si="7"/>
        <v/>
      </c>
      <c r="V28" s="18" t="str">
        <f>IF(T28&lt;=$D$12,"Month "&amp;T28,"")</f>
        <v xml:space="preserve">Month </v>
      </c>
      <c r="W28" s="96">
        <f t="shared" si="8"/>
        <v>818</v>
      </c>
      <c r="X28" s="89" t="str">
        <f>IFERROR(IF(I28=TRUE,ROUND(U28*H28,2)*(W28-W27),ROUND(U28*H27,2)*(LOOKUP(W27,$B$21:$C$33,$C$21:$C$33)-W27)+ROUND(U28*H28,2)*(W28-LOOKUP(W27,$B$21:$C$33,$C$21:$C$33))),"")</f>
        <v/>
      </c>
      <c r="Y28" s="89" t="str">
        <f>IFERROR(IF(U28&lt;Z27,U28,IF(T28=$D$12,U28,Z28-X28+M28)),"")</f>
        <v/>
      </c>
      <c r="Z28" s="89" t="str">
        <f>IF(U28="","",IF(AND(I28=FALSE,J28="No"),Z27,IF(AND(M27&lt;&gt;0,N27="Yes"),ROUND(-PMT(LOOKUP(W27,'Interest Rates'!$A$5:$A$302,'Interest Rates'!$D$5:$D$302)/12,($D$12-T28+1),U28),0),IF(I28=TRUE,Z27,ROUND(-PMT(VLOOKUP(O28,$A$14:$D$28,4,FALSE)/12,($D$12-T28+1),U28),0)))))</f>
        <v/>
      </c>
      <c r="AA28" s="89" t="str">
        <f t="shared" si="9"/>
        <v/>
      </c>
      <c r="AB28" s="89" t="str">
        <f t="shared" si="10"/>
        <v/>
      </c>
      <c r="AC28" s="89"/>
      <c r="AD28" s="99"/>
      <c r="AE28" s="60" t="s">
        <v>46</v>
      </c>
      <c r="AF28" s="61">
        <f>AG23</f>
        <v>0</v>
      </c>
      <c r="AG28" s="52"/>
      <c r="AH28" s="57" t="s">
        <v>47</v>
      </c>
      <c r="AI28" s="52"/>
      <c r="AJ28" s="62"/>
      <c r="AK28" s="63"/>
      <c r="AL28" s="62"/>
      <c r="AM28" s="89">
        <f>COUNTIF($AP$2:AP28,AO28)</f>
        <v>14</v>
      </c>
      <c r="AN28" s="103">
        <f t="shared" si="11"/>
        <v>9587</v>
      </c>
      <c r="AO28" s="103">
        <f t="shared" si="1"/>
        <v>4532</v>
      </c>
      <c r="AP28" s="103">
        <f t="shared" si="2"/>
        <v>4532</v>
      </c>
      <c r="AQ28" s="104">
        <v>27</v>
      </c>
      <c r="AR28" s="104" t="str">
        <f t="shared" si="3"/>
        <v/>
      </c>
      <c r="AS28" s="103" t="str">
        <f t="shared" si="4"/>
        <v/>
      </c>
      <c r="AT28" s="89"/>
      <c r="AU28" s="89"/>
      <c r="AV28" s="89"/>
      <c r="AW28" s="131" t="str">
        <f t="shared" si="24"/>
        <v/>
      </c>
      <c r="AX28" s="35" t="str">
        <f>IF($D$10="","",VLOOKUP(AR20,AR:AS,2,FALSE))</f>
        <v/>
      </c>
      <c r="AY28" s="36" t="str">
        <f t="shared" si="20"/>
        <v/>
      </c>
      <c r="AZ28" s="89"/>
      <c r="BA28" s="89"/>
      <c r="BB28" s="89"/>
      <c r="BC28" s="89">
        <v>2139</v>
      </c>
      <c r="BD28" s="105" t="s">
        <v>88</v>
      </c>
    </row>
    <row r="29" spans="1:56" ht="15" thickTop="1" x14ac:dyDescent="0.3">
      <c r="A29" s="40"/>
      <c r="B29" s="133" t="str">
        <f>IFERROR(IF(INDEX('Interest Rates'!A$3:A$500,MATCH(B28,'Interest Rates'!A$3:A$500)+1)=0,"",INDEX('Interest Rates'!A$3:A$500,MATCH(B28,'Interest Rates'!A$3:A$500)+1)),"")</f>
        <v/>
      </c>
      <c r="C29" s="133" t="str">
        <f t="shared" si="23"/>
        <v/>
      </c>
      <c r="D29" s="133" t="str">
        <f>IFERROR(LOOKUP(B29,'Interest Rates'!$A$4:A308,'Interest Rates'!$D$4:D308),"")</f>
        <v/>
      </c>
      <c r="E29" s="133"/>
      <c r="F29" s="133"/>
      <c r="G29" s="44" t="str">
        <f t="shared" si="21"/>
        <v/>
      </c>
      <c r="H29" s="93" t="str">
        <f>IFERROR(LOOKUP(W29,$B$21:$C$33,$G$21:$G$33),"")</f>
        <v/>
      </c>
      <c r="I29" s="89" t="str">
        <f t="shared" si="5"/>
        <v/>
      </c>
      <c r="J29" s="24" t="e">
        <f>IF(I29=TRUE,"",LOOKUP(W29,$B$21:$C$33,$E$21:$E$33))</f>
        <v>#N/A</v>
      </c>
      <c r="K29" s="89" t="str">
        <f>IF(H29="","",IFERROR(LOOKUP(W29,$B$37:$C$46,$D$37:$D$46),0))</f>
        <v/>
      </c>
      <c r="L29" s="89" t="str">
        <f>IF(H29="","",COUNT($M$3:M29))</f>
        <v/>
      </c>
      <c r="M29" s="89" t="str">
        <f>IF(H29="","",IF(K29=K28,0,LOOKUP(W29,$B$37:$C$46,$D$37:$D$46)))</f>
        <v/>
      </c>
      <c r="N29" s="24" t="e">
        <f>IF(M29=0,"",VLOOKUP(W29,$B$35:$E$46,4,FALSE))</f>
        <v>#N/A</v>
      </c>
      <c r="O29" s="24" t="str">
        <f>IF(H29="","",IF(I29=TRUE,"",COUNTIF($I$2:I29,FALSE)+1))</f>
        <v/>
      </c>
      <c r="P29" s="89"/>
      <c r="Q29" s="87">
        <v>28</v>
      </c>
      <c r="R29" s="89">
        <f t="shared" si="6"/>
        <v>4</v>
      </c>
      <c r="S29" s="25" t="str">
        <f t="shared" si="0"/>
        <v>Year 4</v>
      </c>
      <c r="T29" s="89" t="str">
        <f>IF(Q29&lt;=$D$12,Q29,"")</f>
        <v/>
      </c>
      <c r="U29" s="89" t="str">
        <f t="shared" si="7"/>
        <v/>
      </c>
      <c r="V29" s="18" t="str">
        <f>IF(T29&lt;=$D$12,"Month "&amp;T29,"")</f>
        <v xml:space="preserve">Month </v>
      </c>
      <c r="W29" s="96">
        <f t="shared" si="8"/>
        <v>849</v>
      </c>
      <c r="X29" s="89" t="str">
        <f>IFERROR(IF(I29=TRUE,ROUND(U29*H29,2)*(W29-W28),ROUND(U29*H28,2)*(LOOKUP(W28,$B$21:$C$33,$C$21:$C$33)-W28)+ROUND(U29*H29,2)*(W29-LOOKUP(W28,$B$21:$C$33,$C$21:$C$33))),"")</f>
        <v/>
      </c>
      <c r="Y29" s="89" t="str">
        <f>IFERROR(IF(U29&lt;Z28,U29,IF(T29=$D$12,U29,Z29-X29+M29)),"")</f>
        <v/>
      </c>
      <c r="Z29" s="89" t="str">
        <f>IF(U29="","",IF(AND(I29=FALSE,J29="No"),Z28,IF(AND(M28&lt;&gt;0,N28="Yes"),ROUND(-PMT(LOOKUP(W28,'Interest Rates'!$A$5:$A$302,'Interest Rates'!$D$5:$D$302)/12,($D$12-T29+1),U29),0),IF(I29=TRUE,Z28,ROUND(-PMT(VLOOKUP(O29,$A$14:$D$28,4,FALSE)/12,($D$12-T29+1),U29),0)))))</f>
        <v/>
      </c>
      <c r="AA29" s="89" t="str">
        <f t="shared" si="9"/>
        <v/>
      </c>
      <c r="AB29" s="89" t="str">
        <f t="shared" si="10"/>
        <v/>
      </c>
      <c r="AC29" s="89"/>
      <c r="AD29" s="99"/>
      <c r="AE29" s="64"/>
      <c r="AF29" s="65"/>
      <c r="AG29" s="52"/>
      <c r="AH29" s="57" t="s">
        <v>48</v>
      </c>
      <c r="AI29" s="57"/>
      <c r="AJ29" s="62"/>
      <c r="AK29" s="63"/>
      <c r="AL29" s="62"/>
      <c r="AM29" s="89">
        <f>COUNTIF($AP$2:AP29,AO29)</f>
        <v>15</v>
      </c>
      <c r="AN29" s="103">
        <f t="shared" si="11"/>
        <v>9952</v>
      </c>
      <c r="AO29" s="103">
        <f t="shared" si="1"/>
        <v>4532</v>
      </c>
      <c r="AP29" s="103">
        <f t="shared" si="2"/>
        <v>4532</v>
      </c>
      <c r="AQ29" s="104">
        <v>28</v>
      </c>
      <c r="AR29" s="104" t="str">
        <f t="shared" si="3"/>
        <v/>
      </c>
      <c r="AS29" s="103" t="str">
        <f t="shared" si="4"/>
        <v/>
      </c>
      <c r="AT29" s="89"/>
      <c r="AU29" s="89"/>
      <c r="AV29" s="89"/>
      <c r="AW29" s="131" t="str">
        <f t="shared" si="24"/>
        <v/>
      </c>
      <c r="AX29" s="35" t="str">
        <f>IF($D$10="","",VLOOKUP(AR21,AR:AS,2,FALSE))</f>
        <v/>
      </c>
      <c r="AY29" s="36" t="str">
        <f t="shared" si="20"/>
        <v/>
      </c>
      <c r="AZ29" s="89"/>
      <c r="BA29" s="89"/>
      <c r="BB29" s="89"/>
      <c r="BC29" s="89">
        <v>2142</v>
      </c>
      <c r="BD29" s="105" t="s">
        <v>89</v>
      </c>
    </row>
    <row r="30" spans="1:56" x14ac:dyDescent="0.3">
      <c r="A30" s="40"/>
      <c r="B30" s="133" t="str">
        <f>IFERROR(IF(INDEX('Interest Rates'!A$3:A$500,MATCH(B29,'Interest Rates'!A$3:A$500)+1)=0,"",INDEX('Interest Rates'!A$3:A$500,MATCH(B29,'Interest Rates'!A$3:A$500)+1)),"")</f>
        <v/>
      </c>
      <c r="C30" s="133" t="str">
        <f t="shared" si="23"/>
        <v/>
      </c>
      <c r="D30" s="133" t="str">
        <f>IFERROR(LOOKUP(B30,'Interest Rates'!$A$4:A309,'Interest Rates'!$D$4:D309),"")</f>
        <v/>
      </c>
      <c r="E30" s="133"/>
      <c r="F30" s="133"/>
      <c r="G30" s="44" t="str">
        <f t="shared" si="21"/>
        <v/>
      </c>
      <c r="H30" s="93" t="str">
        <f>IFERROR(LOOKUP(W30,$B$21:$C$33,$G$21:$G$33),"")</f>
        <v/>
      </c>
      <c r="I30" s="89" t="str">
        <f t="shared" si="5"/>
        <v/>
      </c>
      <c r="J30" s="24" t="e">
        <f>IF(I30=TRUE,"",LOOKUP(W30,$B$21:$C$33,$E$21:$E$33))</f>
        <v>#N/A</v>
      </c>
      <c r="K30" s="89" t="str">
        <f>IF(H30="","",IFERROR(LOOKUP(W30,$B$37:$C$46,$D$37:$D$46),0))</f>
        <v/>
      </c>
      <c r="L30" s="89" t="str">
        <f>IF(H30="","",COUNT($M$3:M30))</f>
        <v/>
      </c>
      <c r="M30" s="89" t="str">
        <f>IF(H30="","",IF(K30=K29,0,LOOKUP(W30,$B$37:$C$46,$D$37:$D$46)))</f>
        <v/>
      </c>
      <c r="N30" s="24" t="e">
        <f>IF(M30=0,"",VLOOKUP(W30,$B$35:$E$46,4,FALSE))</f>
        <v>#N/A</v>
      </c>
      <c r="O30" s="24" t="str">
        <f>IF(H30="","",IF(I30=TRUE,"",COUNTIF($I$2:I30,FALSE)+1))</f>
        <v/>
      </c>
      <c r="P30" s="89"/>
      <c r="Q30" s="24">
        <v>29</v>
      </c>
      <c r="R30" s="89">
        <f t="shared" si="6"/>
        <v>4</v>
      </c>
      <c r="S30" s="25" t="str">
        <f t="shared" si="0"/>
        <v>Year 4</v>
      </c>
      <c r="T30" s="89" t="str">
        <f>IF(Q30&lt;=$D$12,Q30,"")</f>
        <v/>
      </c>
      <c r="U30" s="89" t="str">
        <f t="shared" si="7"/>
        <v/>
      </c>
      <c r="V30" s="18" t="str">
        <f>IF(T30&lt;=$D$12,"Month "&amp;T30,"")</f>
        <v xml:space="preserve">Month </v>
      </c>
      <c r="W30" s="96">
        <f t="shared" si="8"/>
        <v>879</v>
      </c>
      <c r="X30" s="89" t="str">
        <f>IFERROR(IF(I30=TRUE,ROUND(U30*H30,2)*(W30-W29),ROUND(U30*H29,2)*(LOOKUP(W29,$B$21:$C$33,$C$21:$C$33)-W29)+ROUND(U30*H30,2)*(W30-LOOKUP(W29,$B$21:$C$33,$C$21:$C$33))),"")</f>
        <v/>
      </c>
      <c r="Y30" s="89" t="str">
        <f>IFERROR(IF(U30&lt;Z29,U30,IF(T30=$D$12,U30,Z30-X30+M30)),"")</f>
        <v/>
      </c>
      <c r="Z30" s="89" t="str">
        <f>IF(U30="","",IF(AND(I30=FALSE,J30="No"),Z29,IF(AND(M29&lt;&gt;0,N29="Yes"),ROUND(-PMT(LOOKUP(W29,'Interest Rates'!$A$5:$A$302,'Interest Rates'!$D$5:$D$302)/12,($D$12-T30+1),U30),0),IF(I30=TRUE,Z29,ROUND(-PMT(VLOOKUP(O30,$A$14:$D$28,4,FALSE)/12,($D$12-T30+1),U30),0)))))</f>
        <v/>
      </c>
      <c r="AA30" s="89" t="str">
        <f t="shared" si="9"/>
        <v/>
      </c>
      <c r="AB30" s="89" t="str">
        <f t="shared" si="10"/>
        <v/>
      </c>
      <c r="AC30" s="89"/>
      <c r="AD30" s="99"/>
      <c r="AE30" s="50" t="s">
        <v>39</v>
      </c>
      <c r="AF30" s="65"/>
      <c r="AG30" s="52"/>
      <c r="AH30" s="52"/>
      <c r="AI30" s="52"/>
      <c r="AJ30" s="66"/>
      <c r="AK30" s="67"/>
      <c r="AL30" s="66"/>
      <c r="AM30" s="89">
        <f>COUNTIF($AP$2:AP30,AO30)</f>
        <v>16</v>
      </c>
      <c r="AN30" s="103">
        <f t="shared" si="11"/>
        <v>10318</v>
      </c>
      <c r="AO30" s="103">
        <f t="shared" si="1"/>
        <v>4532</v>
      </c>
      <c r="AP30" s="103">
        <f t="shared" si="2"/>
        <v>4532</v>
      </c>
      <c r="AQ30" s="104">
        <v>29</v>
      </c>
      <c r="AR30" s="104" t="str">
        <f t="shared" si="3"/>
        <v/>
      </c>
      <c r="AS30" s="103" t="str">
        <f t="shared" si="4"/>
        <v/>
      </c>
      <c r="AT30" s="89"/>
      <c r="AU30" s="89"/>
      <c r="AV30" s="89"/>
      <c r="AW30" s="131" t="str">
        <f t="shared" si="24"/>
        <v/>
      </c>
      <c r="AX30" s="35" t="str">
        <f>IF($D$10="","",VLOOKUP(AR22,AR:AS,2,FALSE))</f>
        <v/>
      </c>
      <c r="AY30" s="36" t="str">
        <f t="shared" si="20"/>
        <v/>
      </c>
      <c r="AZ30" s="89"/>
      <c r="BA30" s="89"/>
      <c r="BB30" s="89"/>
      <c r="BC30" s="89">
        <v>2147</v>
      </c>
      <c r="BD30" s="105" t="s">
        <v>90</v>
      </c>
    </row>
    <row r="31" spans="1:56" x14ac:dyDescent="0.3">
      <c r="A31" s="40"/>
      <c r="B31" s="133" t="str">
        <f>IFERROR(IF(INDEX('Interest Rates'!A$3:A$500,MATCH(B30,'Interest Rates'!A$3:A$500)+1)=0,"",INDEX('Interest Rates'!A$3:A$500,MATCH(B30,'Interest Rates'!A$3:A$500)+1)),"")</f>
        <v/>
      </c>
      <c r="C31" s="133" t="str">
        <f t="shared" si="23"/>
        <v/>
      </c>
      <c r="D31" s="133" t="str">
        <f>IFERROR(LOOKUP(B31,'Interest Rates'!$A$4:A310,'Interest Rates'!$D$4:D310),"")</f>
        <v/>
      </c>
      <c r="E31" s="133"/>
      <c r="F31" s="133"/>
      <c r="G31" s="44" t="str">
        <f t="shared" si="21"/>
        <v/>
      </c>
      <c r="H31" s="93" t="str">
        <f>IFERROR(LOOKUP(W31,$B$21:$C$33,$G$21:$G$33),"")</f>
        <v/>
      </c>
      <c r="I31" s="89" t="str">
        <f t="shared" si="5"/>
        <v/>
      </c>
      <c r="J31" s="24" t="e">
        <f>IF(I31=TRUE,"",LOOKUP(W31,$B$21:$C$33,$E$21:$E$33))</f>
        <v>#N/A</v>
      </c>
      <c r="K31" s="89" t="str">
        <f>IF(H31="","",IFERROR(LOOKUP(W31,$B$37:$C$46,$D$37:$D$46),0))</f>
        <v/>
      </c>
      <c r="L31" s="89" t="str">
        <f>IF(H31="","",COUNT($M$3:M31))</f>
        <v/>
      </c>
      <c r="M31" s="89" t="str">
        <f>IF(H31="","",IF(K31=K30,0,LOOKUP(W31,$B$37:$C$46,$D$37:$D$46)))</f>
        <v/>
      </c>
      <c r="N31" s="24" t="e">
        <f>IF(M31=0,"",VLOOKUP(W31,$B$35:$E$46,4,FALSE))</f>
        <v>#N/A</v>
      </c>
      <c r="O31" s="24" t="str">
        <f>IF(H31="","",IF(I31=TRUE,"",COUNTIF($I$2:I31,FALSE)+1))</f>
        <v/>
      </c>
      <c r="P31" s="89"/>
      <c r="Q31" s="87">
        <v>30</v>
      </c>
      <c r="R31" s="89">
        <f t="shared" si="6"/>
        <v>4</v>
      </c>
      <c r="S31" s="25" t="str">
        <f t="shared" si="0"/>
        <v>Year 4</v>
      </c>
      <c r="T31" s="89" t="str">
        <f>IF(Q31&lt;=$D$12,Q31,"")</f>
        <v/>
      </c>
      <c r="U31" s="89" t="str">
        <f t="shared" si="7"/>
        <v/>
      </c>
      <c r="V31" s="18" t="str">
        <f>IF(T31&lt;=$D$12,"Month "&amp;T31,"")</f>
        <v xml:space="preserve">Month </v>
      </c>
      <c r="W31" s="96">
        <f t="shared" si="8"/>
        <v>910</v>
      </c>
      <c r="X31" s="89" t="str">
        <f>IFERROR(IF(I31=TRUE,ROUND(U31*H31,2)*(W31-W30),ROUND(U31*H30,2)*(LOOKUP(W30,$B$21:$C$33,$C$21:$C$33)-W30)+ROUND(U31*H31,2)*(W31-LOOKUP(W30,$B$21:$C$33,$C$21:$C$33))),"")</f>
        <v/>
      </c>
      <c r="Y31" s="89" t="str">
        <f>IFERROR(IF(U31&lt;Z30,U31,IF(T31=$D$12,U31,Z31-X31+M31)),"")</f>
        <v/>
      </c>
      <c r="Z31" s="89" t="str">
        <f>IF(U31="","",IF(AND(I31=FALSE,J31="No"),Z30,IF(AND(M30&lt;&gt;0,N30="Yes"),ROUND(-PMT(LOOKUP(W30,'Interest Rates'!$A$5:$A$302,'Interest Rates'!$D$5:$D$302)/12,($D$12-T31+1),U31),0),IF(I31=TRUE,Z30,ROUND(-PMT(VLOOKUP(O31,$A$14:$D$28,4,FALSE)/12,($D$12-T31+1),U31),0)))))</f>
        <v/>
      </c>
      <c r="AA31" s="89" t="str">
        <f t="shared" si="9"/>
        <v/>
      </c>
      <c r="AB31" s="89" t="str">
        <f t="shared" si="10"/>
        <v/>
      </c>
      <c r="AC31" s="89"/>
      <c r="AD31" s="99"/>
      <c r="AE31" s="55" t="s">
        <v>49</v>
      </c>
      <c r="AF31" s="68" t="str">
        <f>IF(AJ2=D11,AB2,VLOOKUP(AJ2,W:AB,6))</f>
        <v/>
      </c>
      <c r="AG31" s="52"/>
      <c r="AH31" s="69" t="s">
        <v>50</v>
      </c>
      <c r="AI31" s="70"/>
      <c r="AJ31" s="52"/>
      <c r="AK31" s="71"/>
      <c r="AL31" s="52"/>
      <c r="AM31" s="89">
        <f>COUNTIF($AP$2:AP31,AO31)</f>
        <v>17</v>
      </c>
      <c r="AN31" s="103">
        <f t="shared" si="11"/>
        <v>10683</v>
      </c>
      <c r="AO31" s="103">
        <f t="shared" si="1"/>
        <v>4532</v>
      </c>
      <c r="AP31" s="103">
        <f t="shared" si="2"/>
        <v>4532</v>
      </c>
      <c r="AQ31" s="104">
        <v>30</v>
      </c>
      <c r="AR31" s="104" t="str">
        <f t="shared" si="3"/>
        <v/>
      </c>
      <c r="AS31" s="103" t="str">
        <f t="shared" si="4"/>
        <v/>
      </c>
      <c r="AT31" s="89"/>
      <c r="AU31" s="89"/>
      <c r="AV31" s="89"/>
      <c r="AW31" s="131" t="str">
        <f t="shared" si="24"/>
        <v/>
      </c>
      <c r="AX31" s="35" t="str">
        <f>IF($D$10="","",VLOOKUP(AR23,AR:AS,2,FALSE))</f>
        <v/>
      </c>
      <c r="AY31" s="36" t="str">
        <f t="shared" si="20"/>
        <v/>
      </c>
      <c r="AZ31" s="89"/>
      <c r="BA31" s="89"/>
      <c r="BB31" s="89"/>
      <c r="BC31" s="89">
        <v>2148</v>
      </c>
      <c r="BD31" s="105" t="s">
        <v>91</v>
      </c>
    </row>
    <row r="32" spans="1:56" x14ac:dyDescent="0.3">
      <c r="A32" s="40">
        <v>1</v>
      </c>
      <c r="B32" s="133" t="str">
        <f>IFERROR(IF(INDEX('Interest Rates'!A$3:A$500,MATCH(B31,'Interest Rates'!A$3:A$500)+1)=0,"",INDEX('Interest Rates'!A$3:A$500,MATCH(B31,'Interest Rates'!A$3:A$500)+1)),"")</f>
        <v/>
      </c>
      <c r="C32" s="133" t="str">
        <f t="shared" si="23"/>
        <v/>
      </c>
      <c r="D32" s="133" t="str">
        <f>IFERROR(LOOKUP(B32,'Interest Rates'!$A$4:A311,'Interest Rates'!$D$4:D311),"")</f>
        <v/>
      </c>
      <c r="E32" s="133"/>
      <c r="F32" s="133"/>
      <c r="G32" s="44" t="str">
        <f t="shared" si="21"/>
        <v/>
      </c>
      <c r="H32" s="93" t="str">
        <f>IFERROR(LOOKUP(W32,$B$21:$C$33,$G$21:$G$33),"")</f>
        <v/>
      </c>
      <c r="I32" s="89" t="str">
        <f t="shared" si="5"/>
        <v/>
      </c>
      <c r="J32" s="24" t="e">
        <f>IF(I32=TRUE,"",LOOKUP(W32,$B$21:$C$33,$E$21:$E$33))</f>
        <v>#N/A</v>
      </c>
      <c r="K32" s="89" t="str">
        <f>IF(H32="","",IFERROR(LOOKUP(W32,$B$37:$C$46,$D$37:$D$46),0))</f>
        <v/>
      </c>
      <c r="L32" s="89" t="str">
        <f>IF(H32="","",COUNT($M$3:M32))</f>
        <v/>
      </c>
      <c r="M32" s="89" t="str">
        <f>IF(H32="","",IF(K32=K31,0,LOOKUP(W32,$B$37:$C$46,$D$37:$D$46)))</f>
        <v/>
      </c>
      <c r="N32" s="24" t="e">
        <f>IF(M32=0,"",VLOOKUP(W32,$B$35:$E$46,4,FALSE))</f>
        <v>#N/A</v>
      </c>
      <c r="O32" s="24" t="str">
        <f>IF(H32="","",IF(I32=TRUE,"",COUNTIF($I$2:I32,FALSE)+1))</f>
        <v/>
      </c>
      <c r="P32" s="89"/>
      <c r="Q32" s="24">
        <v>31</v>
      </c>
      <c r="R32" s="89">
        <f t="shared" si="6"/>
        <v>4</v>
      </c>
      <c r="S32" s="25" t="str">
        <f t="shared" si="0"/>
        <v>Year 4</v>
      </c>
      <c r="T32" s="89" t="str">
        <f>IF(Q32&lt;=$D$12,Q32,"")</f>
        <v/>
      </c>
      <c r="U32" s="89" t="str">
        <f t="shared" si="7"/>
        <v/>
      </c>
      <c r="V32" s="18" t="str">
        <f>IF(T32&lt;=$D$12,"Month "&amp;T32,"")</f>
        <v xml:space="preserve">Month </v>
      </c>
      <c r="W32" s="96">
        <f t="shared" si="8"/>
        <v>940</v>
      </c>
      <c r="X32" s="89" t="str">
        <f>IFERROR(IF(I32=TRUE,ROUND(U32*H32,2)*(W32-W31),ROUND(U32*H31,2)*(LOOKUP(W31,$B$21:$C$33,$C$21:$C$33)-W31)+ROUND(U32*H32,2)*(W32-LOOKUP(W31,$B$21:$C$33,$C$21:$C$33))),"")</f>
        <v/>
      </c>
      <c r="Y32" s="89" t="str">
        <f>IFERROR(IF(U32&lt;Z31,U32,IF(T32=$D$12,U32,Z32-X32+M32)),"")</f>
        <v/>
      </c>
      <c r="Z32" s="89" t="str">
        <f>IF(U32="","",IF(AND(I32=FALSE,J32="No"),Z31,IF(AND(M31&lt;&gt;0,N31="Yes"),ROUND(-PMT(LOOKUP(W31,'Interest Rates'!$A$5:$A$302,'Interest Rates'!$D$5:$D$302)/12,($D$12-T32+1),U32),0),IF(I32=TRUE,Z31,ROUND(-PMT(VLOOKUP(O32,$A$14:$D$28,4,FALSE)/12,($D$12-T32+1),U32),0)))))</f>
        <v/>
      </c>
      <c r="AA32" s="89" t="str">
        <f t="shared" si="9"/>
        <v/>
      </c>
      <c r="AB32" s="89" t="str">
        <f t="shared" si="10"/>
        <v/>
      </c>
      <c r="AC32" s="89"/>
      <c r="AD32" s="99"/>
      <c r="AE32" s="55" t="s">
        <v>51</v>
      </c>
      <c r="AF32" s="68" t="str">
        <f>IF(D10="","",VLOOKUP(AK23,T:AB,9,FALSE))</f>
        <v/>
      </c>
      <c r="AG32" s="52"/>
      <c r="AH32" s="69" t="s">
        <v>52</v>
      </c>
      <c r="AI32" s="72"/>
      <c r="AJ32" s="52"/>
      <c r="AK32" s="71"/>
      <c r="AL32" s="52"/>
      <c r="AM32" s="89">
        <f>COUNTIF($AP$2:AP32,AO32)</f>
        <v>18</v>
      </c>
      <c r="AN32" s="103">
        <f t="shared" si="11"/>
        <v>11048</v>
      </c>
      <c r="AO32" s="103">
        <f t="shared" si="1"/>
        <v>4532</v>
      </c>
      <c r="AP32" s="103">
        <f t="shared" si="2"/>
        <v>4532</v>
      </c>
      <c r="AQ32" s="104">
        <v>31</v>
      </c>
      <c r="AR32" s="104" t="str">
        <f t="shared" si="3"/>
        <v/>
      </c>
      <c r="AS32" s="103" t="str">
        <f t="shared" si="4"/>
        <v/>
      </c>
      <c r="AT32" s="89"/>
      <c r="AU32" s="89"/>
      <c r="AV32" s="89"/>
      <c r="AW32" s="131" t="str">
        <f t="shared" si="24"/>
        <v/>
      </c>
      <c r="AX32" s="35" t="str">
        <f>IF($D$10="","",VLOOKUP(AR24,AR:AS,2,FALSE))</f>
        <v/>
      </c>
      <c r="AY32" s="36" t="str">
        <f t="shared" si="20"/>
        <v/>
      </c>
      <c r="AZ32" s="89"/>
      <c r="BA32" s="89"/>
      <c r="BB32" s="89"/>
      <c r="BC32" s="89">
        <v>2155</v>
      </c>
      <c r="BD32" s="105" t="s">
        <v>92</v>
      </c>
    </row>
    <row r="33" spans="1:56" x14ac:dyDescent="0.3">
      <c r="A33" s="40">
        <v>2</v>
      </c>
      <c r="B33" s="133" t="str">
        <f>IFERROR(IF(INDEX('Interest Rates'!A$3:A$500,MATCH(B32,'Interest Rates'!A$3:A$500)+1)=0,"",INDEX('Interest Rates'!A$3:A$500,MATCH(B32,'Interest Rates'!A$3:A$500)+1)),"")</f>
        <v/>
      </c>
      <c r="C33" s="133" t="str">
        <f t="shared" si="23"/>
        <v/>
      </c>
      <c r="D33" s="133" t="str">
        <f>IFERROR(LOOKUP(B33,'Interest Rates'!$A$4:A312,'Interest Rates'!$D$4:D312),"")</f>
        <v/>
      </c>
      <c r="E33" s="133"/>
      <c r="F33" s="133"/>
      <c r="G33" s="44" t="str">
        <f t="shared" si="21"/>
        <v/>
      </c>
      <c r="H33" s="93" t="str">
        <f>IFERROR(LOOKUP(W33,$B$21:$C$33,$G$21:$G$33),"")</f>
        <v/>
      </c>
      <c r="I33" s="89" t="str">
        <f t="shared" si="5"/>
        <v/>
      </c>
      <c r="J33" s="24" t="e">
        <f>IF(I33=TRUE,"",LOOKUP(W33,$B$21:$C$33,$E$21:$E$33))</f>
        <v>#N/A</v>
      </c>
      <c r="K33" s="89" t="str">
        <f>IF(H33="","",IFERROR(LOOKUP(W33,$B$37:$C$46,$D$37:$D$46),0))</f>
        <v/>
      </c>
      <c r="L33" s="89" t="str">
        <f>IF(H33="","",COUNT($M$3:M33))</f>
        <v/>
      </c>
      <c r="M33" s="89" t="str">
        <f>IF(H33="","",IF(K33=K32,0,LOOKUP(W33,$B$37:$C$46,$D$37:$D$46)))</f>
        <v/>
      </c>
      <c r="N33" s="24" t="e">
        <f>IF(M33=0,"",VLOOKUP(W33,$B$35:$E$46,4,FALSE))</f>
        <v>#N/A</v>
      </c>
      <c r="O33" s="24" t="str">
        <f>IF(H33="","",IF(I33=TRUE,"",COUNTIF($I$2:I33,FALSE)+1))</f>
        <v/>
      </c>
      <c r="P33" s="89"/>
      <c r="Q33" s="87">
        <v>32</v>
      </c>
      <c r="R33" s="89">
        <f t="shared" si="6"/>
        <v>4</v>
      </c>
      <c r="S33" s="25" t="str">
        <f t="shared" si="0"/>
        <v>Year 4</v>
      </c>
      <c r="T33" s="89" t="str">
        <f>IF(Q33&lt;=$D$12,Q33,"")</f>
        <v/>
      </c>
      <c r="U33" s="89" t="str">
        <f t="shared" si="7"/>
        <v/>
      </c>
      <c r="V33" s="18" t="str">
        <f>IF(T33&lt;=$D$12,"Month "&amp;T33,"")</f>
        <v xml:space="preserve">Month </v>
      </c>
      <c r="W33" s="96">
        <f t="shared" si="8"/>
        <v>971</v>
      </c>
      <c r="X33" s="89" t="str">
        <f>IFERROR(IF(I33=TRUE,ROUND(U33*H33,2)*(W33-W32),ROUND(U33*H32,2)*(LOOKUP(W32,$B$21:$C$33,$C$21:$C$33)-W32)+ROUND(U33*H33,2)*(W33-LOOKUP(W32,$B$21:$C$33,$C$21:$C$33))),"")</f>
        <v/>
      </c>
      <c r="Y33" s="89" t="str">
        <f>IFERROR(IF(U33&lt;Z32,U33,IF(T33=$D$12,U33,Z33-X33+M33)),"")</f>
        <v/>
      </c>
      <c r="Z33" s="89" t="str">
        <f>IF(U33="","",IF(AND(I33=FALSE,J33="No"),Z32,IF(AND(M32&lt;&gt;0,N32="Yes"),ROUND(-PMT(LOOKUP(W32,'Interest Rates'!$A$5:$A$302,'Interest Rates'!$D$5:$D$302)/12,($D$12-T33+1),U33),0),IF(I33=TRUE,Z32,ROUND(-PMT(VLOOKUP(O33,$A$14:$D$28,4,FALSE)/12,($D$12-T33+1),U33),0)))))</f>
        <v/>
      </c>
      <c r="AA33" s="89" t="str">
        <f t="shared" si="9"/>
        <v/>
      </c>
      <c r="AB33" s="89" t="str">
        <f t="shared" si="10"/>
        <v/>
      </c>
      <c r="AC33" s="89"/>
      <c r="AD33" s="99"/>
      <c r="AE33" s="55" t="s">
        <v>53</v>
      </c>
      <c r="AF33" s="73" t="str">
        <f>IF(D11="","",MAX(AX4:AX505))</f>
        <v/>
      </c>
      <c r="AG33" s="52"/>
      <c r="AH33" s="69" t="s">
        <v>54</v>
      </c>
      <c r="AI33" s="52"/>
      <c r="AJ33" s="52"/>
      <c r="AK33" s="71"/>
      <c r="AL33" s="52"/>
      <c r="AM33" s="89">
        <f>COUNTIF($AP$2:AP33,AO33)</f>
        <v>19</v>
      </c>
      <c r="AN33" s="103">
        <f t="shared" si="11"/>
        <v>11413</v>
      </c>
      <c r="AO33" s="103">
        <f t="shared" si="1"/>
        <v>4532</v>
      </c>
      <c r="AP33" s="103">
        <f t="shared" si="2"/>
        <v>4532</v>
      </c>
      <c r="AQ33" s="104">
        <v>32</v>
      </c>
      <c r="AR33" s="104" t="str">
        <f t="shared" si="3"/>
        <v/>
      </c>
      <c r="AS33" s="103" t="str">
        <f t="shared" si="4"/>
        <v/>
      </c>
      <c r="AT33" s="89"/>
      <c r="AU33" s="89"/>
      <c r="AV33" s="89"/>
      <c r="AW33" s="131" t="str">
        <f t="shared" si="24"/>
        <v/>
      </c>
      <c r="AX33" s="35" t="str">
        <f>IF($D$10="","",VLOOKUP(AR25,AR:AS,2,FALSE))</f>
        <v/>
      </c>
      <c r="AY33" s="36" t="str">
        <f t="shared" si="20"/>
        <v/>
      </c>
      <c r="AZ33" s="89"/>
      <c r="BA33" s="89"/>
      <c r="BB33" s="89"/>
      <c r="BC33" s="89">
        <v>2156</v>
      </c>
      <c r="BD33" s="105" t="s">
        <v>93</v>
      </c>
    </row>
    <row r="34" spans="1:56" x14ac:dyDescent="0.3">
      <c r="A34" s="40">
        <v>3</v>
      </c>
      <c r="B34" s="133"/>
      <c r="C34" s="133"/>
      <c r="D34" s="133"/>
      <c r="E34" s="133"/>
      <c r="F34" s="133"/>
      <c r="G34" s="42"/>
      <c r="H34" s="93" t="str">
        <f>IFERROR(LOOKUP(W34,$B$21:$C$33,$G$21:$G$33),"")</f>
        <v/>
      </c>
      <c r="I34" s="89" t="str">
        <f t="shared" si="5"/>
        <v/>
      </c>
      <c r="J34" s="24" t="e">
        <f>IF(I34=TRUE,"",LOOKUP(W34,$B$21:$C$33,$E$21:$E$33))</f>
        <v>#N/A</v>
      </c>
      <c r="K34" s="89" t="str">
        <f>IF(H34="","",IFERROR(LOOKUP(W34,$B$37:$C$46,$D$37:$D$46),0))</f>
        <v/>
      </c>
      <c r="L34" s="89" t="str">
        <f>IF(H34="","",COUNT($M$3:M34))</f>
        <v/>
      </c>
      <c r="M34" s="89" t="str">
        <f>IF(H34="","",IF(K34=K33,0,LOOKUP(W34,$B$37:$C$46,$D$37:$D$46)))</f>
        <v/>
      </c>
      <c r="N34" s="24" t="e">
        <f>IF(M34=0,"",VLOOKUP(W34,$B$35:$E$46,4,FALSE))</f>
        <v>#N/A</v>
      </c>
      <c r="O34" s="24" t="str">
        <f>IF(H34="","",IF(I34=TRUE,"",COUNTIF($I$2:I34,FALSE)+1))</f>
        <v/>
      </c>
      <c r="P34" s="89"/>
      <c r="Q34" s="24">
        <v>33</v>
      </c>
      <c r="R34" s="89">
        <f t="shared" si="6"/>
        <v>4</v>
      </c>
      <c r="S34" s="25" t="str">
        <f t="shared" si="0"/>
        <v>Year 4</v>
      </c>
      <c r="T34" s="89" t="str">
        <f>IF(Q34&lt;=$D$12,Q34,"")</f>
        <v/>
      </c>
      <c r="U34" s="89" t="str">
        <f t="shared" si="7"/>
        <v/>
      </c>
      <c r="V34" s="18" t="str">
        <f>IF(T34&lt;=$D$12,"Month "&amp;T34,"")</f>
        <v xml:space="preserve">Month </v>
      </c>
      <c r="W34" s="96">
        <f t="shared" si="8"/>
        <v>1002</v>
      </c>
      <c r="X34" s="89" t="str">
        <f>IFERROR(IF(I34=TRUE,ROUND(U34*H34,2)*(W34-W33),ROUND(U34*H33,2)*(LOOKUP(W33,$B$21:$C$33,$C$21:$C$33)-W33)+ROUND(U34*H34,2)*(W34-LOOKUP(W33,$B$21:$C$33,$C$21:$C$33))),"")</f>
        <v/>
      </c>
      <c r="Y34" s="89" t="str">
        <f>IFERROR(IF(U34&lt;Z33,U34,IF(T34=$D$12,U34,Z34-X34+M34)),"")</f>
        <v/>
      </c>
      <c r="Z34" s="89" t="str">
        <f>IF(U34="","",IF(AND(I34=FALSE,J34="No"),Z33,IF(AND(M33&lt;&gt;0,N33="Yes"),ROUND(-PMT(LOOKUP(W33,'Interest Rates'!$A$5:$A$302,'Interest Rates'!$D$5:$D$302)/12,($D$12-T34+1),U34),0),IF(I34=TRUE,Z33,ROUND(-PMT(VLOOKUP(O34,$A$14:$D$28,4,FALSE)/12,($D$12-T34+1),U34),0)))))</f>
        <v/>
      </c>
      <c r="AA34" s="89" t="str">
        <f t="shared" si="9"/>
        <v/>
      </c>
      <c r="AB34" s="89" t="str">
        <f t="shared" si="10"/>
        <v/>
      </c>
      <c r="AC34" s="89"/>
      <c r="AD34" s="99"/>
      <c r="AE34" s="74"/>
      <c r="AF34" s="52"/>
      <c r="AG34" s="75"/>
      <c r="AH34" s="76"/>
      <c r="AI34" s="75"/>
      <c r="AJ34" s="75"/>
      <c r="AK34" s="77"/>
      <c r="AL34" s="75"/>
      <c r="AM34" s="89">
        <f>COUNTIF($AP$2:AP34,AO34)</f>
        <v>20</v>
      </c>
      <c r="AN34" s="103">
        <f t="shared" si="11"/>
        <v>11779</v>
      </c>
      <c r="AO34" s="103">
        <f t="shared" si="1"/>
        <v>4532</v>
      </c>
      <c r="AP34" s="103">
        <f t="shared" si="2"/>
        <v>4532</v>
      </c>
      <c r="AQ34" s="104">
        <v>33</v>
      </c>
      <c r="AR34" s="104" t="str">
        <f t="shared" si="3"/>
        <v/>
      </c>
      <c r="AS34" s="103" t="str">
        <f t="shared" si="4"/>
        <v/>
      </c>
      <c r="AT34" s="89"/>
      <c r="AU34" s="89"/>
      <c r="AV34" s="89"/>
      <c r="AW34" s="131" t="str">
        <f t="shared" si="24"/>
        <v/>
      </c>
      <c r="AX34" s="35" t="str">
        <f>IF($D$10="","",VLOOKUP(AR26,AR:AS,2,FALSE))</f>
        <v/>
      </c>
      <c r="AY34" s="36" t="str">
        <f t="shared" si="20"/>
        <v/>
      </c>
      <c r="AZ34" s="89"/>
      <c r="BA34" s="89"/>
      <c r="BB34" s="89"/>
      <c r="BC34" s="89">
        <v>2161</v>
      </c>
      <c r="BD34" s="105" t="s">
        <v>94</v>
      </c>
    </row>
    <row r="35" spans="1:56" ht="15" thickBot="1" x14ac:dyDescent="0.35">
      <c r="A35" s="40">
        <v>4</v>
      </c>
      <c r="B35" s="133"/>
      <c r="C35" s="133"/>
      <c r="D35" s="133"/>
      <c r="E35" s="133"/>
      <c r="F35" s="133"/>
      <c r="G35" s="42"/>
      <c r="H35" s="93" t="str">
        <f>IFERROR(LOOKUP(W35,$B$21:$C$33,$G$21:$G$33),"")</f>
        <v/>
      </c>
      <c r="I35" s="89" t="str">
        <f t="shared" si="5"/>
        <v/>
      </c>
      <c r="J35" s="24" t="e">
        <f>IF(I35=TRUE,"",LOOKUP(W35,$B$21:$C$33,$E$21:$E$33))</f>
        <v>#N/A</v>
      </c>
      <c r="K35" s="89" t="str">
        <f>IF(H35="","",IFERROR(LOOKUP(W35,$B$37:$C$46,$D$37:$D$46),0))</f>
        <v/>
      </c>
      <c r="L35" s="89" t="str">
        <f>IF(H35="","",COUNT($M$3:M35))</f>
        <v/>
      </c>
      <c r="M35" s="89" t="str">
        <f>IF(H35="","",IF(K35=K34,0,LOOKUP(W35,$B$37:$C$46,$D$37:$D$46)))</f>
        <v/>
      </c>
      <c r="N35" s="24" t="e">
        <f>IF(M35=0,"",VLOOKUP(W35,$B$35:$E$46,4,FALSE))</f>
        <v>#N/A</v>
      </c>
      <c r="O35" s="24" t="str">
        <f>IF(H35="","",IF(I35=TRUE,"",COUNTIF($I$2:I35,FALSE)+1))</f>
        <v/>
      </c>
      <c r="P35" s="89"/>
      <c r="Q35" s="87">
        <v>34</v>
      </c>
      <c r="R35" s="89">
        <f t="shared" si="6"/>
        <v>4</v>
      </c>
      <c r="S35" s="25" t="str">
        <f t="shared" si="0"/>
        <v>Year 4</v>
      </c>
      <c r="T35" s="89" t="str">
        <f>IF(Q35&lt;=$D$12,Q35,"")</f>
        <v/>
      </c>
      <c r="U35" s="89" t="str">
        <f t="shared" si="7"/>
        <v/>
      </c>
      <c r="V35" s="18" t="str">
        <f>IF(T35&lt;=$D$12,"Month "&amp;T35,"")</f>
        <v xml:space="preserve">Month </v>
      </c>
      <c r="W35" s="96">
        <f t="shared" si="8"/>
        <v>1032</v>
      </c>
      <c r="X35" s="89" t="str">
        <f>IFERROR(IF(I35=TRUE,ROUND(U35*H35,2)*(W35-W34),ROUND(U35*H34,2)*(LOOKUP(W34,$B$21:$C$33,$C$21:$C$33)-W34)+ROUND(U35*H35,2)*(W35-LOOKUP(W34,$B$21:$C$33,$C$21:$C$33))),"")</f>
        <v/>
      </c>
      <c r="Y35" s="89" t="str">
        <f>IFERROR(IF(U35&lt;Z34,U35,IF(T35=$D$12,U35,Z35-X35+M35)),"")</f>
        <v/>
      </c>
      <c r="Z35" s="89" t="str">
        <f>IF(U35="","",IF(AND(I35=FALSE,J35="No"),Z34,IF(AND(M34&lt;&gt;0,N34="Yes"),ROUND(-PMT(LOOKUP(W34,'Interest Rates'!$A$5:$A$302,'Interest Rates'!$D$5:$D$302)/12,($D$12-T35+1),U35),0),IF(I35=TRUE,Z34,ROUND(-PMT(VLOOKUP(O35,$A$14:$D$28,4,FALSE)/12,($D$12-T35+1),U35),0)))))</f>
        <v/>
      </c>
      <c r="AA35" s="89" t="str">
        <f t="shared" si="9"/>
        <v/>
      </c>
      <c r="AB35" s="89" t="str">
        <f t="shared" si="10"/>
        <v/>
      </c>
      <c r="AC35" s="89"/>
      <c r="AD35" s="99"/>
      <c r="AE35" s="78"/>
      <c r="AF35" s="79"/>
      <c r="AG35" s="80"/>
      <c r="AH35" s="80"/>
      <c r="AI35" s="80"/>
      <c r="AJ35" s="80"/>
      <c r="AK35" s="81"/>
      <c r="AL35" s="75"/>
      <c r="AM35" s="89">
        <f>COUNTIF($AP$2:AP35,AO35)</f>
        <v>21</v>
      </c>
      <c r="AN35" s="103">
        <f t="shared" si="11"/>
        <v>12144</v>
      </c>
      <c r="AO35" s="103">
        <f t="shared" si="1"/>
        <v>4532</v>
      </c>
      <c r="AP35" s="103">
        <f t="shared" si="2"/>
        <v>4532</v>
      </c>
      <c r="AQ35" s="104">
        <v>34</v>
      </c>
      <c r="AR35" s="104" t="str">
        <f t="shared" si="3"/>
        <v/>
      </c>
      <c r="AS35" s="103" t="str">
        <f t="shared" si="4"/>
        <v/>
      </c>
      <c r="AT35" s="89"/>
      <c r="AU35" s="89"/>
      <c r="AV35" s="89"/>
      <c r="AW35" s="131" t="str">
        <f t="shared" si="24"/>
        <v/>
      </c>
      <c r="AX35" s="35" t="str">
        <f>IF($D$10="","",VLOOKUP(AR27,AR:AS,2,FALSE))</f>
        <v/>
      </c>
      <c r="AY35" s="36" t="str">
        <f t="shared" si="20"/>
        <v/>
      </c>
      <c r="AZ35" s="89"/>
      <c r="BA35" s="89"/>
      <c r="BB35" s="89"/>
      <c r="BC35" s="89">
        <v>2163</v>
      </c>
      <c r="BD35" s="105" t="s">
        <v>95</v>
      </c>
    </row>
    <row r="36" spans="1:56" x14ac:dyDescent="0.3">
      <c r="A36" s="40">
        <v>5</v>
      </c>
      <c r="B36" s="133"/>
      <c r="C36" s="133"/>
      <c r="D36" s="133"/>
      <c r="E36" s="133"/>
      <c r="F36" s="133"/>
      <c r="G36" s="42"/>
      <c r="H36" s="93" t="str">
        <f>IFERROR(LOOKUP(W36,$B$21:$C$33,$G$21:$G$33),"")</f>
        <v/>
      </c>
      <c r="I36" s="89" t="str">
        <f t="shared" si="5"/>
        <v/>
      </c>
      <c r="J36" s="24" t="e">
        <f>IF(I36=TRUE,"",LOOKUP(W36,$B$21:$C$33,$E$21:$E$33))</f>
        <v>#N/A</v>
      </c>
      <c r="K36" s="89" t="str">
        <f>IF(H36="","",IFERROR(LOOKUP(W36,$B$37:$C$46,$D$37:$D$46),0))</f>
        <v/>
      </c>
      <c r="L36" s="89" t="str">
        <f>IF(H36="","",COUNT($M$3:M36))</f>
        <v/>
      </c>
      <c r="M36" s="89" t="str">
        <f>IF(H36="","",IF(K36=K35,0,LOOKUP(W36,$B$37:$C$46,$D$37:$D$46)))</f>
        <v/>
      </c>
      <c r="N36" s="24" t="e">
        <f>IF(M36=0,"",VLOOKUP(W36,$B$35:$E$46,4,FALSE))</f>
        <v>#N/A</v>
      </c>
      <c r="O36" s="24" t="str">
        <f>IF(H36="","",IF(I36=TRUE,"",COUNTIF($I$2:I36,FALSE)+1))</f>
        <v/>
      </c>
      <c r="P36" s="89"/>
      <c r="Q36" s="24">
        <v>35</v>
      </c>
      <c r="R36" s="89">
        <f t="shared" si="6"/>
        <v>4</v>
      </c>
      <c r="S36" s="25" t="str">
        <f t="shared" si="0"/>
        <v>Year 4</v>
      </c>
      <c r="T36" s="89" t="str">
        <f>IF(Q36&lt;=$D$12,Q36,"")</f>
        <v/>
      </c>
      <c r="U36" s="89" t="str">
        <f t="shared" si="7"/>
        <v/>
      </c>
      <c r="V36" s="18" t="str">
        <f>IF(T36&lt;=$D$12,"Month "&amp;T36,"")</f>
        <v xml:space="preserve">Month </v>
      </c>
      <c r="W36" s="96">
        <f t="shared" si="8"/>
        <v>1063</v>
      </c>
      <c r="X36" s="89" t="str">
        <f>IFERROR(IF(I36=TRUE,ROUND(U36*H36,2)*(W36-W35),ROUND(U36*H35,2)*(LOOKUP(W35,$B$21:$C$33,$C$21:$C$33)-W35)+ROUND(U36*H36,2)*(W36-LOOKUP(W35,$B$21:$C$33,$C$21:$C$33))),"")</f>
        <v/>
      </c>
      <c r="Y36" s="89" t="str">
        <f>IFERROR(IF(U36&lt;Z35,U36,IF(T36=$D$12,U36,Z36-X36+M36)),"")</f>
        <v/>
      </c>
      <c r="Z36" s="89" t="str">
        <f>IF(U36="","",IF(AND(I36=FALSE,J36="No"),Z35,IF(AND(M35&lt;&gt;0,N35="Yes"),ROUND(-PMT(LOOKUP(W35,'Interest Rates'!$A$5:$A$302,'Interest Rates'!$D$5:$D$302)/12,($D$12-T36+1),U36),0),IF(I36=TRUE,Z35,ROUND(-PMT(VLOOKUP(O36,$A$14:$D$28,4,FALSE)/12,($D$12-T36+1),U36),0)))))</f>
        <v/>
      </c>
      <c r="AA36" s="89" t="str">
        <f t="shared" si="9"/>
        <v/>
      </c>
      <c r="AB36" s="89" t="str">
        <f t="shared" si="10"/>
        <v/>
      </c>
      <c r="AC36" s="89"/>
      <c r="AD36" s="99"/>
      <c r="AE36" s="89"/>
      <c r="AF36" s="143"/>
      <c r="AG36" s="89"/>
      <c r="AH36" s="89"/>
      <c r="AI36" s="89"/>
      <c r="AJ36" s="89"/>
      <c r="AK36" s="89"/>
      <c r="AL36" s="89"/>
      <c r="AM36" s="89">
        <f>COUNTIF($AP$2:AP36,AO36)</f>
        <v>22</v>
      </c>
      <c r="AN36" s="103">
        <f t="shared" si="11"/>
        <v>12509</v>
      </c>
      <c r="AO36" s="103">
        <f t="shared" si="1"/>
        <v>4532</v>
      </c>
      <c r="AP36" s="103">
        <f t="shared" si="2"/>
        <v>4532</v>
      </c>
      <c r="AQ36" s="104">
        <v>35</v>
      </c>
      <c r="AR36" s="104" t="str">
        <f t="shared" si="3"/>
        <v/>
      </c>
      <c r="AS36" s="103" t="str">
        <f t="shared" si="4"/>
        <v/>
      </c>
      <c r="AT36" s="89"/>
      <c r="AU36" s="89"/>
      <c r="AV36" s="89"/>
      <c r="AW36" s="131" t="str">
        <f t="shared" si="24"/>
        <v/>
      </c>
      <c r="AX36" s="35" t="str">
        <f>IF($D$10="","",VLOOKUP(AR28,AR:AS,2,FALSE))</f>
        <v/>
      </c>
      <c r="AY36" s="36" t="str">
        <f t="shared" si="20"/>
        <v/>
      </c>
      <c r="AZ36" s="89"/>
      <c r="BA36" s="89"/>
      <c r="BB36" s="89"/>
      <c r="BC36" s="89">
        <v>2164</v>
      </c>
      <c r="BD36" s="105" t="s">
        <v>96</v>
      </c>
    </row>
    <row r="37" spans="1:56" x14ac:dyDescent="0.3">
      <c r="A37" s="40">
        <v>6</v>
      </c>
      <c r="B37" s="133"/>
      <c r="C37" s="133"/>
      <c r="D37" s="133"/>
      <c r="E37" s="133"/>
      <c r="F37" s="133"/>
      <c r="G37" s="42"/>
      <c r="H37" s="93" t="str">
        <f>IFERROR(LOOKUP(W37,$B$21:$C$33,$G$21:$G$33),"")</f>
        <v/>
      </c>
      <c r="I37" s="89" t="str">
        <f t="shared" si="5"/>
        <v/>
      </c>
      <c r="J37" s="24" t="e">
        <f>IF(I37=TRUE,"",LOOKUP(W37,$B$21:$C$33,$E$21:$E$33))</f>
        <v>#N/A</v>
      </c>
      <c r="K37" s="89" t="str">
        <f>IF(H37="","",IFERROR(LOOKUP(W37,$B$37:$C$46,$D$37:$D$46),0))</f>
        <v/>
      </c>
      <c r="L37" s="89" t="str">
        <f>IF(H37="","",COUNT($M$3:M37))</f>
        <v/>
      </c>
      <c r="M37" s="89" t="str">
        <f>IF(H37="","",IF(K37=K36,0,LOOKUP(W37,$B$37:$C$46,$D$37:$D$46)))</f>
        <v/>
      </c>
      <c r="N37" s="24" t="e">
        <f>IF(M37=0,"",VLOOKUP(W37,$B$35:$E$46,4,FALSE))</f>
        <v>#N/A</v>
      </c>
      <c r="O37" s="24" t="str">
        <f>IF(H37="","",IF(I37=TRUE,"",COUNTIF($I$2:I37,FALSE)+1))</f>
        <v/>
      </c>
      <c r="P37" s="89"/>
      <c r="Q37" s="87">
        <v>36</v>
      </c>
      <c r="R37" s="89">
        <f t="shared" si="6"/>
        <v>4</v>
      </c>
      <c r="S37" s="25" t="str">
        <f t="shared" si="0"/>
        <v>Year 4</v>
      </c>
      <c r="T37" s="89" t="str">
        <f>IF(Q37&lt;=$D$12,Q37,"")</f>
        <v/>
      </c>
      <c r="U37" s="89" t="str">
        <f t="shared" si="7"/>
        <v/>
      </c>
      <c r="V37" s="18" t="str">
        <f>IF(T37&lt;=$D$12,"Month "&amp;T37,"")</f>
        <v xml:space="preserve">Month </v>
      </c>
      <c r="W37" s="96">
        <f t="shared" si="8"/>
        <v>1093</v>
      </c>
      <c r="X37" s="89" t="str">
        <f>IFERROR(IF(I37=TRUE,ROUND(U37*H37,2)*(W37-W36),ROUND(U37*H36,2)*(LOOKUP(W36,$B$21:$C$33,$C$21:$C$33)-W36)+ROUND(U37*H37,2)*(W37-LOOKUP(W36,$B$21:$C$33,$C$21:$C$33))),"")</f>
        <v/>
      </c>
      <c r="Y37" s="89" t="str">
        <f>IFERROR(IF(U37&lt;Z36,U37,IF(T37=$D$12,U37,Z37-X37+M37)),"")</f>
        <v/>
      </c>
      <c r="Z37" s="89" t="str">
        <f>IF(U37="","",IF(AND(I37=FALSE,J37="No"),Z36,IF(AND(M36&lt;&gt;0,N36="Yes"),ROUND(-PMT(LOOKUP(W36,'Interest Rates'!$A$5:$A$302,'Interest Rates'!$D$5:$D$302)/12,($D$12-T37+1),U37),0),IF(I37=TRUE,Z36,ROUND(-PMT(VLOOKUP(O37,$A$14:$D$28,4,FALSE)/12,($D$12-T37+1),U37),0)))))</f>
        <v/>
      </c>
      <c r="AA37" s="89" t="str">
        <f t="shared" si="9"/>
        <v/>
      </c>
      <c r="AB37" s="89" t="str">
        <f t="shared" si="10"/>
        <v/>
      </c>
      <c r="AC37" s="89"/>
      <c r="AD37" s="99"/>
      <c r="AE37" s="89"/>
      <c r="AF37" s="89"/>
      <c r="AG37" s="89"/>
      <c r="AH37" s="89"/>
      <c r="AI37" s="89"/>
      <c r="AJ37" s="89"/>
      <c r="AK37" s="89"/>
      <c r="AL37" s="89"/>
      <c r="AM37" s="89">
        <f>COUNTIF($AP$2:AP37,AO37)</f>
        <v>23</v>
      </c>
      <c r="AN37" s="103">
        <f t="shared" si="11"/>
        <v>12874</v>
      </c>
      <c r="AO37" s="103">
        <f t="shared" si="1"/>
        <v>4532</v>
      </c>
      <c r="AP37" s="103">
        <f t="shared" si="2"/>
        <v>4532</v>
      </c>
      <c r="AQ37" s="104">
        <v>36</v>
      </c>
      <c r="AR37" s="104" t="str">
        <f t="shared" si="3"/>
        <v/>
      </c>
      <c r="AS37" s="103" t="str">
        <f t="shared" si="4"/>
        <v/>
      </c>
      <c r="AT37" s="89"/>
      <c r="AU37" s="89"/>
      <c r="AV37" s="89"/>
      <c r="AW37" s="131" t="str">
        <f t="shared" si="24"/>
        <v/>
      </c>
      <c r="AX37" s="35" t="str">
        <f>IF($D$10="","",VLOOKUP(AR29,AR:AS,2,FALSE))</f>
        <v/>
      </c>
      <c r="AY37" s="36" t="str">
        <f t="shared" si="20"/>
        <v/>
      </c>
      <c r="AZ37" s="89"/>
      <c r="BA37" s="89"/>
      <c r="BB37" s="89"/>
      <c r="BC37" s="89">
        <v>2165</v>
      </c>
      <c r="BD37" s="105" t="s">
        <v>97</v>
      </c>
    </row>
    <row r="38" spans="1:56" x14ac:dyDescent="0.3">
      <c r="A38" s="40">
        <v>7</v>
      </c>
      <c r="B38" s="133"/>
      <c r="C38" s="133"/>
      <c r="D38" s="133"/>
      <c r="E38" s="133"/>
      <c r="F38" s="133"/>
      <c r="G38" s="42"/>
      <c r="H38" s="93" t="str">
        <f>IFERROR(LOOKUP(W38,$B$21:$C$33,$G$21:$G$33),"")</f>
        <v/>
      </c>
      <c r="I38" s="89" t="str">
        <f t="shared" si="5"/>
        <v/>
      </c>
      <c r="J38" s="24" t="e">
        <f>IF(I38=TRUE,"",LOOKUP(W38,$B$21:$C$33,$E$21:$E$33))</f>
        <v>#N/A</v>
      </c>
      <c r="K38" s="89" t="str">
        <f>IF(H38="","",IFERROR(LOOKUP(W38,$B$37:$C$46,$D$37:$D$46),0))</f>
        <v/>
      </c>
      <c r="L38" s="89" t="str">
        <f>IF(H38="","",COUNT($M$3:M38))</f>
        <v/>
      </c>
      <c r="M38" s="89" t="str">
        <f>IF(H38="","",IF(K38=K37,0,LOOKUP(W38,$B$37:$C$46,$D$37:$D$46)))</f>
        <v/>
      </c>
      <c r="N38" s="24" t="e">
        <f>IF(M38=0,"",VLOOKUP(W38,$B$35:$E$46,4,FALSE))</f>
        <v>#N/A</v>
      </c>
      <c r="O38" s="24" t="str">
        <f>IF(H38="","",IF(I38=TRUE,"",COUNTIF($I$2:I38,FALSE)+1))</f>
        <v/>
      </c>
      <c r="P38" s="89"/>
      <c r="Q38" s="24">
        <v>37</v>
      </c>
      <c r="R38" s="89">
        <f t="shared" si="6"/>
        <v>4</v>
      </c>
      <c r="S38" s="25" t="str">
        <f t="shared" si="0"/>
        <v>Year 4</v>
      </c>
      <c r="T38" s="89" t="str">
        <f>IF(Q38&lt;=$D$12,Q38,"")</f>
        <v/>
      </c>
      <c r="U38" s="89" t="str">
        <f t="shared" si="7"/>
        <v/>
      </c>
      <c r="V38" s="18" t="str">
        <f>IF(T38&lt;=$D$12,"Month "&amp;T38,"")</f>
        <v xml:space="preserve">Month </v>
      </c>
      <c r="W38" s="96">
        <f t="shared" si="8"/>
        <v>1124</v>
      </c>
      <c r="X38" s="89" t="str">
        <f>IFERROR(IF(I38=TRUE,ROUND(U38*H38,2)*(W38-W37),ROUND(U38*H37,2)*(LOOKUP(W37,$B$21:$C$33,$C$21:$C$33)-W37)+ROUND(U38*H38,2)*(W38-LOOKUP(W37,$B$21:$C$33,$C$21:$C$33))),"")</f>
        <v/>
      </c>
      <c r="Y38" s="89" t="str">
        <f>IFERROR(IF(U38&lt;Z37,U38,IF(T38=$D$12,U38,Z38-X38+M38)),"")</f>
        <v/>
      </c>
      <c r="Z38" s="89" t="str">
        <f>IF(U38="","",IF(AND(I38=FALSE,J38="No"),Z37,IF(AND(M37&lt;&gt;0,N37="Yes"),ROUND(-PMT(LOOKUP(W37,'Interest Rates'!$A$5:$A$302,'Interest Rates'!$D$5:$D$302)/12,($D$12-T38+1),U38),0),IF(I38=TRUE,Z37,ROUND(-PMT(VLOOKUP(O38,$A$14:$D$28,4,FALSE)/12,($D$12-T38+1),U38),0)))))</f>
        <v/>
      </c>
      <c r="AA38" s="89" t="str">
        <f t="shared" si="9"/>
        <v/>
      </c>
      <c r="AB38" s="89" t="str">
        <f t="shared" si="10"/>
        <v/>
      </c>
      <c r="AC38" s="89"/>
      <c r="AD38" s="99"/>
      <c r="AE38" s="89"/>
      <c r="AF38" s="89"/>
      <c r="AG38" s="89"/>
      <c r="AH38" s="89"/>
      <c r="AI38" s="89"/>
      <c r="AJ38" s="89"/>
      <c r="AK38" s="89"/>
      <c r="AL38" s="126"/>
      <c r="AM38" s="89">
        <f>COUNTIF($AP$2:AP38,AO38)</f>
        <v>24</v>
      </c>
      <c r="AN38" s="103">
        <f t="shared" si="11"/>
        <v>13240</v>
      </c>
      <c r="AO38" s="103">
        <f t="shared" si="1"/>
        <v>4532</v>
      </c>
      <c r="AP38" s="103">
        <f t="shared" si="2"/>
        <v>4532</v>
      </c>
      <c r="AQ38" s="104">
        <v>37</v>
      </c>
      <c r="AR38" s="104" t="str">
        <f t="shared" si="3"/>
        <v/>
      </c>
      <c r="AS38" s="103" t="str">
        <f t="shared" si="4"/>
        <v/>
      </c>
      <c r="AT38" s="89"/>
      <c r="AU38" s="89"/>
      <c r="AV38" s="89"/>
      <c r="AW38" s="131" t="str">
        <f t="shared" si="24"/>
        <v/>
      </c>
      <c r="AX38" s="35" t="str">
        <f>IF($D$10="","",VLOOKUP(AR30,AR:AS,2,FALSE))</f>
        <v/>
      </c>
      <c r="AY38" s="36" t="str">
        <f t="shared" si="20"/>
        <v/>
      </c>
      <c r="AZ38" s="89"/>
      <c r="BA38" s="89"/>
      <c r="BB38" s="89"/>
      <c r="BC38" s="89">
        <v>2166</v>
      </c>
      <c r="BD38" s="105" t="s">
        <v>98</v>
      </c>
    </row>
    <row r="39" spans="1:56" x14ac:dyDescent="0.3">
      <c r="A39" s="40">
        <v>8</v>
      </c>
      <c r="B39" s="133"/>
      <c r="C39" s="133"/>
      <c r="D39" s="133"/>
      <c r="E39" s="133"/>
      <c r="F39" s="133"/>
      <c r="G39" s="42"/>
      <c r="H39" s="93" t="str">
        <f>IFERROR(LOOKUP(W39,$B$21:$C$33,$G$21:$G$33),"")</f>
        <v/>
      </c>
      <c r="I39" s="89" t="str">
        <f t="shared" si="5"/>
        <v/>
      </c>
      <c r="J39" s="24" t="e">
        <f>IF(I39=TRUE,"",LOOKUP(W39,$B$21:$C$33,$E$21:$E$33))</f>
        <v>#N/A</v>
      </c>
      <c r="K39" s="89" t="str">
        <f>IF(H39="","",IFERROR(LOOKUP(W39,$B$37:$C$46,$D$37:$D$46),0))</f>
        <v/>
      </c>
      <c r="L39" s="89" t="str">
        <f>IF(H39="","",COUNT($M$3:M39))</f>
        <v/>
      </c>
      <c r="M39" s="89" t="str">
        <f>IF(H39="","",IF(K39=K38,0,LOOKUP(W39,$B$37:$C$46,$D$37:$D$46)))</f>
        <v/>
      </c>
      <c r="N39" s="24" t="e">
        <f>IF(M39=0,"",VLOOKUP(W39,$B$35:$E$46,4,FALSE))</f>
        <v>#N/A</v>
      </c>
      <c r="O39" s="24" t="str">
        <f>IF(H39="","",IF(I39=TRUE,"",COUNTIF($I$2:I39,FALSE)+1))</f>
        <v/>
      </c>
      <c r="P39" s="89"/>
      <c r="Q39" s="87">
        <v>38</v>
      </c>
      <c r="R39" s="89">
        <f t="shared" si="6"/>
        <v>4</v>
      </c>
      <c r="S39" s="25" t="str">
        <f t="shared" si="0"/>
        <v>Year 4</v>
      </c>
      <c r="T39" s="89" t="str">
        <f>IF(Q39&lt;=$D$12,Q39,"")</f>
        <v/>
      </c>
      <c r="U39" s="89" t="str">
        <f t="shared" si="7"/>
        <v/>
      </c>
      <c r="V39" s="18" t="str">
        <f>IF(T39&lt;=$D$12,"Month "&amp;T39,"")</f>
        <v xml:space="preserve">Month </v>
      </c>
      <c r="W39" s="96">
        <f t="shared" si="8"/>
        <v>1155</v>
      </c>
      <c r="X39" s="89" t="str">
        <f>IFERROR(IF(I39=TRUE,ROUND(U39*H39,2)*(W39-W38),ROUND(U39*H38,2)*(LOOKUP(W38,$B$21:$C$33,$C$21:$C$33)-W38)+ROUND(U39*H39,2)*(W39-LOOKUP(W38,$B$21:$C$33,$C$21:$C$33))),"")</f>
        <v/>
      </c>
      <c r="Y39" s="89" t="str">
        <f>IFERROR(IF(U39&lt;Z38,U39,IF(T39=$D$12,U39,Z39-X39+M39)),"")</f>
        <v/>
      </c>
      <c r="Z39" s="89" t="str">
        <f>IF(U39="","",IF(AND(I39=FALSE,J39="No"),Z38,IF(AND(M38&lt;&gt;0,N38="Yes"),ROUND(-PMT(LOOKUP(W38,'Interest Rates'!$A$5:$A$302,'Interest Rates'!$D$5:$D$302)/12,($D$12-T39+1),U39),0),IF(I39=TRUE,Z38,ROUND(-PMT(VLOOKUP(O39,$A$14:$D$28,4,FALSE)/12,($D$12-T39+1),U39),0)))))</f>
        <v/>
      </c>
      <c r="AA39" s="89" t="str">
        <f t="shared" si="9"/>
        <v/>
      </c>
      <c r="AB39" s="89" t="str">
        <f t="shared" si="10"/>
        <v/>
      </c>
      <c r="AC39" s="89"/>
      <c r="AD39" s="99"/>
      <c r="AE39" s="89"/>
      <c r="AF39" s="89"/>
      <c r="AG39" s="89"/>
      <c r="AH39" s="89"/>
      <c r="AI39" s="89"/>
      <c r="AJ39" s="89"/>
      <c r="AK39" s="89"/>
      <c r="AL39" s="126"/>
      <c r="AM39" s="89">
        <f>COUNTIF($AP$2:AP39,AO39)</f>
        <v>25</v>
      </c>
      <c r="AN39" s="103">
        <f t="shared" si="11"/>
        <v>13605</v>
      </c>
      <c r="AO39" s="103">
        <f t="shared" si="1"/>
        <v>4532</v>
      </c>
      <c r="AP39" s="103">
        <f t="shared" si="2"/>
        <v>4532</v>
      </c>
      <c r="AQ39" s="104">
        <v>38</v>
      </c>
      <c r="AR39" s="104" t="str">
        <f t="shared" si="3"/>
        <v/>
      </c>
      <c r="AS39" s="103" t="str">
        <f t="shared" si="4"/>
        <v/>
      </c>
      <c r="AT39" s="89"/>
      <c r="AU39" s="89"/>
      <c r="AV39" s="89"/>
      <c r="AW39" s="131" t="str">
        <f t="shared" si="24"/>
        <v/>
      </c>
      <c r="AX39" s="35" t="str">
        <f>IF($D$10="","",VLOOKUP(AR31,AR:AS,2,FALSE))</f>
        <v/>
      </c>
      <c r="AY39" s="36" t="str">
        <f t="shared" si="20"/>
        <v/>
      </c>
      <c r="AZ39" s="89"/>
      <c r="BA39" s="89"/>
      <c r="BB39" s="89"/>
      <c r="BC39" s="89">
        <v>2167</v>
      </c>
      <c r="BD39" s="105" t="s">
        <v>99</v>
      </c>
    </row>
    <row r="40" spans="1:56" x14ac:dyDescent="0.3">
      <c r="A40" s="40">
        <v>9</v>
      </c>
      <c r="B40" s="133"/>
      <c r="C40" s="133"/>
      <c r="D40" s="133"/>
      <c r="E40" s="133"/>
      <c r="F40" s="133"/>
      <c r="G40" s="42"/>
      <c r="H40" s="93" t="str">
        <f>IFERROR(LOOKUP(W40,$B$21:$C$33,$G$21:$G$33),"")</f>
        <v/>
      </c>
      <c r="I40" s="89" t="str">
        <f t="shared" si="5"/>
        <v/>
      </c>
      <c r="J40" s="24" t="e">
        <f>IF(I40=TRUE,"",LOOKUP(W40,$B$21:$C$33,$E$21:$E$33))</f>
        <v>#N/A</v>
      </c>
      <c r="K40" s="89" t="str">
        <f>IF(H40="","",IFERROR(LOOKUP(W40,$B$37:$C$46,$D$37:$D$46),0))</f>
        <v/>
      </c>
      <c r="L40" s="89" t="str">
        <f>IF(H40="","",COUNT($M$3:M40))</f>
        <v/>
      </c>
      <c r="M40" s="89" t="str">
        <f>IF(H40="","",IF(K40=K39,0,LOOKUP(W40,$B$37:$C$46,$D$37:$D$46)))</f>
        <v/>
      </c>
      <c r="N40" s="24" t="e">
        <f>IF(M40=0,"",VLOOKUP(W40,$B$35:$E$46,4,FALSE))</f>
        <v>#N/A</v>
      </c>
      <c r="O40" s="24" t="str">
        <f>IF(H40="","",IF(I40=TRUE,"",COUNTIF($I$2:I40,FALSE)+1))</f>
        <v/>
      </c>
      <c r="P40" s="89"/>
      <c r="Q40" s="24">
        <v>39</v>
      </c>
      <c r="R40" s="89">
        <f t="shared" si="6"/>
        <v>4</v>
      </c>
      <c r="S40" s="25" t="str">
        <f t="shared" si="0"/>
        <v>Year 4</v>
      </c>
      <c r="T40" s="89" t="str">
        <f>IF(Q40&lt;=$D$12,Q40,"")</f>
        <v/>
      </c>
      <c r="U40" s="89" t="str">
        <f t="shared" si="7"/>
        <v/>
      </c>
      <c r="V40" s="18" t="str">
        <f>IF(T40&lt;=$D$12,"Month "&amp;T40,"")</f>
        <v xml:space="preserve">Month </v>
      </c>
      <c r="W40" s="96">
        <f t="shared" si="8"/>
        <v>1183</v>
      </c>
      <c r="X40" s="89" t="str">
        <f>IFERROR(IF(I40=TRUE,ROUND(U40*H40,2)*(W40-W39),ROUND(U40*H39,2)*(LOOKUP(W39,$B$21:$C$33,$C$21:$C$33)-W39)+ROUND(U40*H40,2)*(W40-LOOKUP(W39,$B$21:$C$33,$C$21:$C$33))),"")</f>
        <v/>
      </c>
      <c r="Y40" s="89" t="str">
        <f>IFERROR(IF(U40&lt;Z39,U40,IF(T40=$D$12,U40,Z40-X40+M40)),"")</f>
        <v/>
      </c>
      <c r="Z40" s="89" t="str">
        <f>IF(U40="","",IF(AND(I40=FALSE,J40="No"),Z39,IF(AND(M39&lt;&gt;0,N39="Yes"),ROUND(-PMT(LOOKUP(W39,'Interest Rates'!$A$5:$A$302,'Interest Rates'!$D$5:$D$302)/12,($D$12-T40+1),U40),0),IF(I40=TRUE,Z39,ROUND(-PMT(VLOOKUP(O40,$A$14:$D$28,4,FALSE)/12,($D$12-T40+1),U40),0)))))</f>
        <v/>
      </c>
      <c r="AA40" s="89" t="str">
        <f t="shared" si="9"/>
        <v/>
      </c>
      <c r="AB40" s="89" t="str">
        <f t="shared" si="10"/>
        <v/>
      </c>
      <c r="AC40" s="89"/>
      <c r="AD40" s="99"/>
      <c r="AE40" s="89"/>
      <c r="AF40" s="89"/>
      <c r="AG40" s="89"/>
      <c r="AH40" s="89"/>
      <c r="AI40" s="89"/>
      <c r="AJ40" s="89"/>
      <c r="AK40" s="89"/>
      <c r="AL40" s="126"/>
      <c r="AM40" s="89">
        <f>COUNTIF($AP$2:AP40,AO40)</f>
        <v>26</v>
      </c>
      <c r="AN40" s="103">
        <f t="shared" si="11"/>
        <v>13970</v>
      </c>
      <c r="AO40" s="103">
        <f t="shared" si="1"/>
        <v>4532</v>
      </c>
      <c r="AP40" s="103">
        <f t="shared" si="2"/>
        <v>4532</v>
      </c>
      <c r="AQ40" s="104">
        <v>39</v>
      </c>
      <c r="AR40" s="104" t="str">
        <f t="shared" si="3"/>
        <v/>
      </c>
      <c r="AS40" s="103" t="str">
        <f t="shared" si="4"/>
        <v/>
      </c>
      <c r="AT40" s="89"/>
      <c r="AU40" s="89"/>
      <c r="AV40" s="89"/>
      <c r="AW40" s="131" t="str">
        <f t="shared" si="24"/>
        <v/>
      </c>
      <c r="AX40" s="35" t="str">
        <f>IF($D$10="","",VLOOKUP(AR32,AR:AS,2,FALSE))</f>
        <v/>
      </c>
      <c r="AY40" s="36" t="str">
        <f t="shared" si="20"/>
        <v/>
      </c>
      <c r="AZ40" s="89"/>
      <c r="BA40" s="89"/>
      <c r="BB40" s="89"/>
      <c r="BC40" s="89">
        <v>2168</v>
      </c>
      <c r="BD40" s="105" t="s">
        <v>100</v>
      </c>
    </row>
    <row r="41" spans="1:56" x14ac:dyDescent="0.3">
      <c r="A41" s="40">
        <v>10</v>
      </c>
      <c r="B41" s="133"/>
      <c r="C41" s="133"/>
      <c r="D41" s="133"/>
      <c r="E41" s="133"/>
      <c r="F41" s="133"/>
      <c r="G41" s="42"/>
      <c r="H41" s="93" t="str">
        <f>IFERROR(LOOKUP(W41,$B$21:$C$33,$G$21:$G$33),"")</f>
        <v/>
      </c>
      <c r="I41" s="89" t="str">
        <f t="shared" si="5"/>
        <v/>
      </c>
      <c r="J41" s="24" t="e">
        <f>IF(I41=TRUE,"",LOOKUP(W41,$B$21:$C$33,$E$21:$E$33))</f>
        <v>#N/A</v>
      </c>
      <c r="K41" s="89" t="str">
        <f>IF(H41="","",IFERROR(LOOKUP(W41,$B$37:$C$46,$D$37:$D$46),0))</f>
        <v/>
      </c>
      <c r="L41" s="89" t="str">
        <f>IF(H41="","",COUNT($M$3:M41))</f>
        <v/>
      </c>
      <c r="M41" s="89" t="str">
        <f>IF(H41="","",IF(K41=K40,0,LOOKUP(W41,$B$37:$C$46,$D$37:$D$46)))</f>
        <v/>
      </c>
      <c r="N41" s="24" t="e">
        <f>IF(M41=0,"",VLOOKUP(W41,$B$35:$E$46,4,FALSE))</f>
        <v>#N/A</v>
      </c>
      <c r="O41" s="24" t="str">
        <f>IF(H41="","",IF(I41=TRUE,"",COUNTIF($I$2:I41,FALSE)+1))</f>
        <v/>
      </c>
      <c r="P41" s="89"/>
      <c r="Q41" s="87">
        <v>40</v>
      </c>
      <c r="R41" s="89">
        <f t="shared" si="6"/>
        <v>5</v>
      </c>
      <c r="S41" s="25" t="str">
        <f t="shared" si="0"/>
        <v>Year 5</v>
      </c>
      <c r="T41" s="89" t="str">
        <f>IF(Q41&lt;=$D$12,Q41,"")</f>
        <v/>
      </c>
      <c r="U41" s="89" t="str">
        <f t="shared" si="7"/>
        <v/>
      </c>
      <c r="V41" s="18" t="str">
        <f>IF(T41&lt;=$D$12,"Month "&amp;T41,"")</f>
        <v xml:space="preserve">Month </v>
      </c>
      <c r="W41" s="96">
        <f t="shared" si="8"/>
        <v>1214</v>
      </c>
      <c r="X41" s="89" t="str">
        <f>IFERROR(IF(I41=TRUE,ROUND(U41*H41,2)*(W41-W40),ROUND(U41*H40,2)*(LOOKUP(W40,$B$21:$C$33,$C$21:$C$33)-W40)+ROUND(U41*H41,2)*(W41-LOOKUP(W40,$B$21:$C$33,$C$21:$C$33))),"")</f>
        <v/>
      </c>
      <c r="Y41" s="89" t="str">
        <f>IFERROR(IF(U41&lt;Z40,U41,IF(T41=$D$12,U41,Z41-X41+M41)),"")</f>
        <v/>
      </c>
      <c r="Z41" s="89" t="str">
        <f>IF(U41="","",IF(AND(I41=FALSE,J41="No"),Z40,IF(AND(M40&lt;&gt;0,N40="Yes"),ROUND(-PMT(LOOKUP(W40,'Interest Rates'!$A$5:$A$302,'Interest Rates'!$D$5:$D$302)/12,($D$12-T41+1),U41),0),IF(I41=TRUE,Z40,ROUND(-PMT(VLOOKUP(O41,$A$14:$D$28,4,FALSE)/12,($D$12-T41+1),U41),0)))))</f>
        <v/>
      </c>
      <c r="AA41" s="89" t="str">
        <f t="shared" si="9"/>
        <v/>
      </c>
      <c r="AB41" s="89" t="str">
        <f t="shared" si="10"/>
        <v/>
      </c>
      <c r="AC41" s="89"/>
      <c r="AD41" s="99"/>
      <c r="AE41" s="89"/>
      <c r="AF41" s="89"/>
      <c r="AG41" s="89"/>
      <c r="AH41" s="89"/>
      <c r="AI41" s="89"/>
      <c r="AJ41" s="89"/>
      <c r="AK41" s="89"/>
      <c r="AL41" s="126"/>
      <c r="AM41" s="89">
        <f>COUNTIF($AP$2:AP41,AO41)</f>
        <v>27</v>
      </c>
      <c r="AN41" s="103">
        <f t="shared" si="11"/>
        <v>14335</v>
      </c>
      <c r="AO41" s="103">
        <f t="shared" si="1"/>
        <v>4532</v>
      </c>
      <c r="AP41" s="103">
        <f t="shared" si="2"/>
        <v>4532</v>
      </c>
      <c r="AQ41" s="104">
        <v>40</v>
      </c>
      <c r="AR41" s="104" t="str">
        <f t="shared" si="3"/>
        <v/>
      </c>
      <c r="AS41" s="103" t="str">
        <f t="shared" si="4"/>
        <v/>
      </c>
      <c r="AT41" s="89"/>
      <c r="AU41" s="89"/>
      <c r="AV41" s="89"/>
      <c r="AW41" s="131" t="str">
        <f t="shared" si="24"/>
        <v/>
      </c>
      <c r="AX41" s="35" t="str">
        <f>IF($D$10="","",VLOOKUP(AR33,AR:AS,2,FALSE))</f>
        <v/>
      </c>
      <c r="AY41" s="36" t="str">
        <f t="shared" si="20"/>
        <v/>
      </c>
      <c r="AZ41" s="89"/>
      <c r="BA41" s="89"/>
      <c r="BB41" s="89"/>
      <c r="BC41" s="89">
        <v>2169</v>
      </c>
      <c r="BD41" s="105" t="s">
        <v>101</v>
      </c>
    </row>
    <row r="42" spans="1:56" x14ac:dyDescent="0.3">
      <c r="A42" s="40"/>
      <c r="B42" s="133"/>
      <c r="C42" s="133"/>
      <c r="D42" s="133"/>
      <c r="E42" s="133"/>
      <c r="F42" s="133"/>
      <c r="G42" s="42"/>
      <c r="H42" s="93" t="str">
        <f>IFERROR(LOOKUP(W42,$B$21:$C$33,$G$21:$G$33),"")</f>
        <v/>
      </c>
      <c r="I42" s="89" t="str">
        <f t="shared" si="5"/>
        <v/>
      </c>
      <c r="J42" s="24" t="e">
        <f>IF(I42=TRUE,"",LOOKUP(W42,$B$21:$C$33,$E$21:$E$33))</f>
        <v>#N/A</v>
      </c>
      <c r="K42" s="89" t="str">
        <f>IF(H42="","",IFERROR(LOOKUP(W42,$B$37:$C$46,$D$37:$D$46),0))</f>
        <v/>
      </c>
      <c r="L42" s="89" t="str">
        <f>IF(H42="","",COUNT($M$3:M42))</f>
        <v/>
      </c>
      <c r="M42" s="89" t="str">
        <f>IF(H42="","",IF(K42=K41,0,LOOKUP(W42,$B$37:$C$46,$D$37:$D$46)))</f>
        <v/>
      </c>
      <c r="N42" s="24" t="e">
        <f>IF(M42=0,"",VLOOKUP(W42,$B$35:$E$46,4,FALSE))</f>
        <v>#N/A</v>
      </c>
      <c r="O42" s="24" t="str">
        <f>IF(H42="","",IF(I42=TRUE,"",COUNTIF($I$2:I42,FALSE)+1))</f>
        <v/>
      </c>
      <c r="P42" s="89"/>
      <c r="Q42" s="24">
        <v>41</v>
      </c>
      <c r="R42" s="89">
        <f t="shared" si="6"/>
        <v>5</v>
      </c>
      <c r="S42" s="25" t="str">
        <f t="shared" si="0"/>
        <v>Year 5</v>
      </c>
      <c r="T42" s="89" t="str">
        <f>IF(Q42&lt;=$D$12,Q42,"")</f>
        <v/>
      </c>
      <c r="U42" s="89" t="str">
        <f t="shared" si="7"/>
        <v/>
      </c>
      <c r="V42" s="18" t="str">
        <f>IF(T42&lt;=$D$12,"Month "&amp;T42,"")</f>
        <v xml:space="preserve">Month </v>
      </c>
      <c r="W42" s="96">
        <f t="shared" si="8"/>
        <v>1244</v>
      </c>
      <c r="X42" s="89" t="str">
        <f>IFERROR(IF(I42=TRUE,ROUND(U42*H42,2)*(W42-W41),ROUND(U42*H41,2)*(LOOKUP(W41,$B$21:$C$33,$C$21:$C$33)-W41)+ROUND(U42*H42,2)*(W42-LOOKUP(W41,$B$21:$C$33,$C$21:$C$33))),"")</f>
        <v/>
      </c>
      <c r="Y42" s="89" t="str">
        <f>IFERROR(IF(U42&lt;Z41,U42,IF(T42=$D$12,U42,Z42-X42+M42)),"")</f>
        <v/>
      </c>
      <c r="Z42" s="89" t="str">
        <f>IF(U42="","",IF(AND(I42=FALSE,J42="No"),Z41,IF(AND(M41&lt;&gt;0,N41="Yes"),ROUND(-PMT(LOOKUP(W41,'Interest Rates'!$A$5:$A$302,'Interest Rates'!$D$5:$D$302)/12,($D$12-T42+1),U42),0),IF(I42=TRUE,Z41,ROUND(-PMT(VLOOKUP(O42,$A$14:$D$28,4,FALSE)/12,($D$12-T42+1),U42),0)))))</f>
        <v/>
      </c>
      <c r="AA42" s="89" t="str">
        <f t="shared" si="9"/>
        <v/>
      </c>
      <c r="AB42" s="89" t="str">
        <f t="shared" si="10"/>
        <v/>
      </c>
      <c r="AC42" s="89"/>
      <c r="AD42" s="99"/>
      <c r="AE42" s="89"/>
      <c r="AF42" s="89"/>
      <c r="AG42" s="89"/>
      <c r="AH42" s="89"/>
      <c r="AI42" s="89"/>
      <c r="AJ42" s="89"/>
      <c r="AK42" s="89"/>
      <c r="AL42" s="126"/>
      <c r="AM42" s="128"/>
      <c r="AN42" s="89"/>
      <c r="AO42" s="89"/>
      <c r="AP42" s="89"/>
      <c r="AQ42" s="89"/>
      <c r="AR42" s="104"/>
      <c r="AS42" s="89"/>
      <c r="AT42" s="89"/>
      <c r="AU42" s="89"/>
      <c r="AV42" s="89"/>
      <c r="AW42" s="131" t="str">
        <f t="shared" si="24"/>
        <v/>
      </c>
      <c r="AX42" s="35" t="str">
        <f>IF($D$10="","",VLOOKUP(AR34,AR:AS,2,FALSE))</f>
        <v/>
      </c>
      <c r="AY42" s="36" t="str">
        <f t="shared" si="20"/>
        <v/>
      </c>
      <c r="AZ42" s="89"/>
      <c r="BA42" s="89"/>
      <c r="BB42" s="89"/>
      <c r="BC42" s="89">
        <v>2171</v>
      </c>
      <c r="BD42" s="105" t="s">
        <v>102</v>
      </c>
    </row>
    <row r="43" spans="1:56" x14ac:dyDescent="0.3">
      <c r="A43" s="82"/>
      <c r="B43" s="133"/>
      <c r="C43" s="133"/>
      <c r="D43" s="133"/>
      <c r="E43" s="133"/>
      <c r="F43" s="133"/>
      <c r="G43" s="42"/>
      <c r="H43" s="93" t="str">
        <f>IFERROR(LOOKUP(W43,$B$21:$C$33,$G$21:$G$33),"")</f>
        <v/>
      </c>
      <c r="I43" s="89" t="str">
        <f t="shared" si="5"/>
        <v/>
      </c>
      <c r="J43" s="24" t="e">
        <f>IF(I43=TRUE,"",LOOKUP(W43,$B$21:$C$33,$E$21:$E$33))</f>
        <v>#N/A</v>
      </c>
      <c r="K43" s="89" t="str">
        <f>IF(H43="","",IFERROR(LOOKUP(W43,$B$37:$C$46,$D$37:$D$46),0))</f>
        <v/>
      </c>
      <c r="L43" s="89" t="str">
        <f>IF(H43="","",COUNT($M$3:M43))</f>
        <v/>
      </c>
      <c r="M43" s="89" t="str">
        <f>IF(H43="","",IF(K43=K42,0,LOOKUP(W43,$B$37:$C$46,$D$37:$D$46)))</f>
        <v/>
      </c>
      <c r="N43" s="24" t="e">
        <f>IF(M43=0,"",VLOOKUP(W43,$B$35:$E$46,4,FALSE))</f>
        <v>#N/A</v>
      </c>
      <c r="O43" s="24" t="str">
        <f>IF(H43="","",IF(I43=TRUE,"",COUNTIF($I$2:I43,FALSE)+1))</f>
        <v/>
      </c>
      <c r="P43" s="89"/>
      <c r="Q43" s="87">
        <v>42</v>
      </c>
      <c r="R43" s="89">
        <f t="shared" si="6"/>
        <v>5</v>
      </c>
      <c r="S43" s="25" t="str">
        <f t="shared" si="0"/>
        <v>Year 5</v>
      </c>
      <c r="T43" s="89" t="str">
        <f>IF(Q43&lt;=$D$12,Q43,"")</f>
        <v/>
      </c>
      <c r="U43" s="89" t="str">
        <f t="shared" si="7"/>
        <v/>
      </c>
      <c r="V43" s="18" t="str">
        <f>IF(T43&lt;=$D$12,"Month "&amp;T43,"")</f>
        <v xml:space="preserve">Month </v>
      </c>
      <c r="W43" s="96">
        <f t="shared" si="8"/>
        <v>1275</v>
      </c>
      <c r="X43" s="89" t="str">
        <f>IFERROR(IF(I43=TRUE,ROUND(U43*H43,2)*(W43-W42),ROUND(U43*H42,2)*(LOOKUP(W42,$B$21:$C$33,$C$21:$C$33)-W42)+ROUND(U43*H43,2)*(W43-LOOKUP(W42,$B$21:$C$33,$C$21:$C$33))),"")</f>
        <v/>
      </c>
      <c r="Y43" s="89" t="str">
        <f>IFERROR(IF(U43&lt;Z42,U43,IF(T43=$D$12,U43,Z43-X43+M43)),"")</f>
        <v/>
      </c>
      <c r="Z43" s="89" t="str">
        <f>IF(U43="","",IF(AND(I43=FALSE,J43="No"),Z42,IF(AND(M42&lt;&gt;0,N42="Yes"),ROUND(-PMT(LOOKUP(W42,'Interest Rates'!$A$5:$A$302,'Interest Rates'!$D$5:$D$302)/12,($D$12-T43+1),U43),0),IF(I43=TRUE,Z42,ROUND(-PMT(VLOOKUP(O43,$A$14:$D$28,4,FALSE)/12,($D$12-T43+1),U43),0)))))</f>
        <v/>
      </c>
      <c r="AA43" s="89" t="str">
        <f t="shared" si="9"/>
        <v/>
      </c>
      <c r="AB43" s="89" t="str">
        <f t="shared" si="10"/>
        <v/>
      </c>
      <c r="AC43" s="89"/>
      <c r="AD43" s="99"/>
      <c r="AE43" s="89"/>
      <c r="AF43" s="89"/>
      <c r="AG43" s="89"/>
      <c r="AH43" s="89"/>
      <c r="AI43" s="89"/>
      <c r="AJ43" s="89"/>
      <c r="AK43" s="89"/>
      <c r="AL43" s="145"/>
      <c r="AM43" s="128"/>
      <c r="AN43" s="89"/>
      <c r="AO43" s="89"/>
      <c r="AP43" s="89"/>
      <c r="AQ43" s="89"/>
      <c r="AR43" s="104"/>
      <c r="AS43" s="89"/>
      <c r="AT43" s="89"/>
      <c r="AU43" s="89"/>
      <c r="AV43" s="89"/>
      <c r="AW43" s="131" t="str">
        <f t="shared" si="24"/>
        <v/>
      </c>
      <c r="AX43" s="35" t="str">
        <f>IF($D$10="","",VLOOKUP(AR35,AR:AS,2,FALSE))</f>
        <v/>
      </c>
      <c r="AY43" s="36" t="str">
        <f t="shared" si="20"/>
        <v/>
      </c>
      <c r="AZ43" s="89"/>
      <c r="BA43" s="89"/>
      <c r="BB43" s="89"/>
      <c r="BC43" s="89">
        <v>2175</v>
      </c>
      <c r="BD43" s="105" t="s">
        <v>103</v>
      </c>
    </row>
    <row r="44" spans="1:56" x14ac:dyDescent="0.3">
      <c r="A44" s="82"/>
      <c r="B44" s="133"/>
      <c r="C44" s="133"/>
      <c r="D44" s="133"/>
      <c r="E44" s="133"/>
      <c r="F44" s="133"/>
      <c r="G44" s="42"/>
      <c r="H44" s="93" t="str">
        <f>IFERROR(LOOKUP(W44,$B$21:$C$33,$G$21:$G$33),"")</f>
        <v/>
      </c>
      <c r="I44" s="89" t="str">
        <f t="shared" si="5"/>
        <v/>
      </c>
      <c r="J44" s="24" t="e">
        <f>IF(I44=TRUE,"",LOOKUP(W44,$B$21:$C$33,$E$21:$E$33))</f>
        <v>#N/A</v>
      </c>
      <c r="K44" s="89" t="str">
        <f>IF(H44="","",IFERROR(LOOKUP(W44,$B$37:$C$46,$D$37:$D$46),0))</f>
        <v/>
      </c>
      <c r="L44" s="89" t="str">
        <f>IF(H44="","",COUNT($M$3:M44))</f>
        <v/>
      </c>
      <c r="M44" s="89" t="str">
        <f>IF(H44="","",IF(K44=K43,0,LOOKUP(W44,$B$37:$C$46,$D$37:$D$46)))</f>
        <v/>
      </c>
      <c r="N44" s="24" t="e">
        <f>IF(M44=0,"",VLOOKUP(W44,$B$35:$E$46,4,FALSE))</f>
        <v>#N/A</v>
      </c>
      <c r="O44" s="24" t="str">
        <f>IF(H44="","",IF(I44=TRUE,"",COUNTIF($I$2:I44,FALSE)+1))</f>
        <v/>
      </c>
      <c r="P44" s="89"/>
      <c r="Q44" s="24">
        <v>43</v>
      </c>
      <c r="R44" s="89">
        <f t="shared" si="6"/>
        <v>5</v>
      </c>
      <c r="S44" s="25" t="str">
        <f t="shared" si="0"/>
        <v>Year 5</v>
      </c>
      <c r="T44" s="89" t="str">
        <f>IF(Q44&lt;=$D$12,Q44,"")</f>
        <v/>
      </c>
      <c r="U44" s="89" t="str">
        <f t="shared" si="7"/>
        <v/>
      </c>
      <c r="V44" s="18" t="str">
        <f>IF(T44&lt;=$D$12,"Month "&amp;T44,"")</f>
        <v xml:space="preserve">Month </v>
      </c>
      <c r="W44" s="96">
        <f t="shared" si="8"/>
        <v>1305</v>
      </c>
      <c r="X44" s="89" t="str">
        <f>IFERROR(IF(I44=TRUE,ROUND(U44*H44,2)*(W44-W43),ROUND(U44*H43,2)*(LOOKUP(W43,$B$21:$C$33,$C$21:$C$33)-W43)+ROUND(U44*H44,2)*(W44-LOOKUP(W43,$B$21:$C$33,$C$21:$C$33))),"")</f>
        <v/>
      </c>
      <c r="Y44" s="89" t="str">
        <f>IFERROR(IF(U44&lt;Z43,U44,IF(T44=$D$12,U44,Z44-X44+M44)),"")</f>
        <v/>
      </c>
      <c r="Z44" s="89" t="str">
        <f>IF(U44="","",IF(AND(I44=FALSE,J44="No"),Z43,IF(AND(M43&lt;&gt;0,N43="Yes"),ROUND(-PMT(LOOKUP(W43,'Interest Rates'!$A$5:$A$302,'Interest Rates'!$D$5:$D$302)/12,($D$12-T44+1),U44),0),IF(I44=TRUE,Z43,ROUND(-PMT(VLOOKUP(O44,$A$14:$D$28,4,FALSE)/12,($D$12-T44+1),U44),0)))))</f>
        <v/>
      </c>
      <c r="AA44" s="89" t="str">
        <f t="shared" si="9"/>
        <v/>
      </c>
      <c r="AB44" s="89" t="str">
        <f t="shared" si="10"/>
        <v/>
      </c>
      <c r="AC44" s="89"/>
      <c r="AD44" s="99"/>
      <c r="AE44" s="89"/>
      <c r="AF44" s="89"/>
      <c r="AG44" s="89"/>
      <c r="AH44" s="89"/>
      <c r="AI44" s="89"/>
      <c r="AJ44" s="89"/>
      <c r="AK44" s="89"/>
      <c r="AL44" s="145"/>
      <c r="AM44" s="128"/>
      <c r="AN44" s="89"/>
      <c r="AO44" s="89"/>
      <c r="AP44" s="89"/>
      <c r="AQ44" s="89"/>
      <c r="AR44" s="104"/>
      <c r="AS44" s="89"/>
      <c r="AT44" s="89"/>
      <c r="AU44" s="89"/>
      <c r="AV44" s="89"/>
      <c r="AW44" s="131" t="str">
        <f t="shared" si="24"/>
        <v/>
      </c>
      <c r="AX44" s="35" t="str">
        <f>IF($D$10="","",VLOOKUP(AR36,AR:AS,2,FALSE))</f>
        <v/>
      </c>
      <c r="AY44" s="36" t="str">
        <f t="shared" si="20"/>
        <v/>
      </c>
      <c r="AZ44" s="89"/>
      <c r="BA44" s="89"/>
      <c r="BB44" s="89"/>
      <c r="BC44" s="89">
        <v>2176</v>
      </c>
      <c r="BD44" s="105" t="s">
        <v>104</v>
      </c>
    </row>
    <row r="45" spans="1:56" x14ac:dyDescent="0.3">
      <c r="A45" s="82"/>
      <c r="B45" s="133"/>
      <c r="C45" s="133"/>
      <c r="D45" s="133"/>
      <c r="E45" s="133"/>
      <c r="F45" s="133"/>
      <c r="G45" s="42"/>
      <c r="H45" s="93" t="str">
        <f>IFERROR(LOOKUP(W45,$B$21:$C$33,$G$21:$G$33),"")</f>
        <v/>
      </c>
      <c r="I45" s="89" t="str">
        <f t="shared" si="5"/>
        <v/>
      </c>
      <c r="J45" s="24" t="e">
        <f>IF(I45=TRUE,"",LOOKUP(W45,$B$21:$C$33,$E$21:$E$33))</f>
        <v>#N/A</v>
      </c>
      <c r="K45" s="89" t="str">
        <f>IF(H45="","",IFERROR(LOOKUP(W45,$B$37:$C$46,$D$37:$D$46),0))</f>
        <v/>
      </c>
      <c r="L45" s="89" t="str">
        <f>IF(H45="","",COUNT($M$3:M45))</f>
        <v/>
      </c>
      <c r="M45" s="89" t="str">
        <f>IF(H45="","",IF(K45=K44,0,LOOKUP(W45,$B$37:$C$46,$D$37:$D$46)))</f>
        <v/>
      </c>
      <c r="N45" s="24" t="e">
        <f>IF(M45=0,"",VLOOKUP(W45,$B$35:$E$46,4,FALSE))</f>
        <v>#N/A</v>
      </c>
      <c r="O45" s="24" t="str">
        <f>IF(H45="","",IF(I45=TRUE,"",COUNTIF($I$2:I45,FALSE)+1))</f>
        <v/>
      </c>
      <c r="P45" s="89"/>
      <c r="Q45" s="87">
        <v>44</v>
      </c>
      <c r="R45" s="89">
        <f t="shared" si="6"/>
        <v>5</v>
      </c>
      <c r="S45" s="25" t="str">
        <f t="shared" si="0"/>
        <v>Year 5</v>
      </c>
      <c r="T45" s="89" t="str">
        <f>IF(Q45&lt;=$D$12,Q45,"")</f>
        <v/>
      </c>
      <c r="U45" s="89" t="str">
        <f t="shared" si="7"/>
        <v/>
      </c>
      <c r="V45" s="18" t="str">
        <f>IF(T45&lt;=$D$12,"Month "&amp;T45,"")</f>
        <v xml:space="preserve">Month </v>
      </c>
      <c r="W45" s="96">
        <f t="shared" si="8"/>
        <v>1336</v>
      </c>
      <c r="X45" s="89" t="str">
        <f>IFERROR(IF(I45=TRUE,ROUND(U45*H45,2)*(W45-W44),ROUND(U45*H44,2)*(LOOKUP(W44,$B$21:$C$33,$C$21:$C$33)-W44)+ROUND(U45*H45,2)*(W45-LOOKUP(W44,$B$21:$C$33,$C$21:$C$33))),"")</f>
        <v/>
      </c>
      <c r="Y45" s="89" t="str">
        <f>IFERROR(IF(U45&lt;Z44,U45,IF(T45=$D$12,U45,Z45-X45+M45)),"")</f>
        <v/>
      </c>
      <c r="Z45" s="89" t="str">
        <f>IF(U45="","",IF(AND(I45=FALSE,J45="No"),Z44,IF(AND(M44&lt;&gt;0,N44="Yes"),ROUND(-PMT(LOOKUP(W44,'Interest Rates'!$A$5:$A$302,'Interest Rates'!$D$5:$D$302)/12,($D$12-T45+1),U45),0),IF(I45=TRUE,Z44,ROUND(-PMT(VLOOKUP(O45,$A$14:$D$28,4,FALSE)/12,($D$12-T45+1),U45),0)))))</f>
        <v/>
      </c>
      <c r="AA45" s="89" t="str">
        <f t="shared" si="9"/>
        <v/>
      </c>
      <c r="AB45" s="89" t="str">
        <f t="shared" si="10"/>
        <v/>
      </c>
      <c r="AC45" s="89"/>
      <c r="AD45" s="89"/>
      <c r="AE45" s="89"/>
      <c r="AF45" s="89"/>
      <c r="AG45" s="89"/>
      <c r="AH45" s="89"/>
      <c r="AI45" s="89"/>
      <c r="AJ45" s="89"/>
      <c r="AK45" s="89"/>
      <c r="AL45" s="145"/>
      <c r="AM45" s="128"/>
      <c r="AN45" s="89"/>
      <c r="AO45" s="89"/>
      <c r="AP45" s="89"/>
      <c r="AQ45" s="89"/>
      <c r="AR45" s="104"/>
      <c r="AS45" s="89"/>
      <c r="AT45" s="89"/>
      <c r="AU45" s="89"/>
      <c r="AV45" s="89"/>
      <c r="AW45" s="131" t="str">
        <f t="shared" si="24"/>
        <v/>
      </c>
      <c r="AX45" s="35" t="str">
        <f>IF($D$10="","",VLOOKUP(AR37,AR:AS,2,FALSE))</f>
        <v/>
      </c>
      <c r="AY45" s="36" t="str">
        <f t="shared" si="20"/>
        <v/>
      </c>
      <c r="AZ45" s="89"/>
      <c r="BA45" s="89"/>
      <c r="BB45" s="89"/>
      <c r="BC45" s="89">
        <v>2185</v>
      </c>
      <c r="BD45" s="105" t="s">
        <v>105</v>
      </c>
    </row>
    <row r="46" spans="1:56" x14ac:dyDescent="0.3">
      <c r="A46" s="82"/>
      <c r="B46" s="133"/>
      <c r="C46" s="133"/>
      <c r="D46" s="133"/>
      <c r="E46" s="133"/>
      <c r="F46" s="133"/>
      <c r="G46" s="42"/>
      <c r="H46" s="93" t="str">
        <f>IFERROR(LOOKUP(W46,$B$21:$C$33,$G$21:$G$33),"")</f>
        <v/>
      </c>
      <c r="I46" s="89" t="str">
        <f t="shared" si="5"/>
        <v/>
      </c>
      <c r="J46" s="24" t="e">
        <f>IF(I46=TRUE,"",LOOKUP(W46,$B$21:$C$33,$E$21:$E$33))</f>
        <v>#N/A</v>
      </c>
      <c r="K46" s="89" t="str">
        <f>IF(H46="","",IFERROR(LOOKUP(W46,$B$37:$C$46,$D$37:$D$46),0))</f>
        <v/>
      </c>
      <c r="L46" s="89" t="str">
        <f>IF(H46="","",COUNT($M$3:M46))</f>
        <v/>
      </c>
      <c r="M46" s="89" t="str">
        <f>IF(H46="","",IF(K46=K45,0,LOOKUP(W46,$B$37:$C$46,$D$37:$D$46)))</f>
        <v/>
      </c>
      <c r="N46" s="24" t="e">
        <f>IF(M46=0,"",VLOOKUP(W46,$B$35:$E$46,4,FALSE))</f>
        <v>#N/A</v>
      </c>
      <c r="O46" s="24" t="str">
        <f>IF(H46="","",IF(I46=TRUE,"",COUNTIF($I$2:I46,FALSE)+1))</f>
        <v/>
      </c>
      <c r="P46" s="89"/>
      <c r="Q46" s="24">
        <v>45</v>
      </c>
      <c r="R46" s="89">
        <f t="shared" si="6"/>
        <v>5</v>
      </c>
      <c r="S46" s="25" t="str">
        <f t="shared" si="0"/>
        <v>Year 5</v>
      </c>
      <c r="T46" s="89" t="str">
        <f>IF(Q46&lt;=$D$12,Q46,"")</f>
        <v/>
      </c>
      <c r="U46" s="89" t="str">
        <f t="shared" si="7"/>
        <v/>
      </c>
      <c r="V46" s="18" t="str">
        <f>IF(T46&lt;=$D$12,"Month "&amp;T46,"")</f>
        <v xml:space="preserve">Month </v>
      </c>
      <c r="W46" s="96">
        <f t="shared" si="8"/>
        <v>1367</v>
      </c>
      <c r="X46" s="89" t="str">
        <f>IFERROR(IF(I46=TRUE,ROUND(U46*H46,2)*(W46-W45),ROUND(U46*H45,2)*(LOOKUP(W45,$B$21:$C$33,$C$21:$C$33)-W45)+ROUND(U46*H46,2)*(W46-LOOKUP(W45,$B$21:$C$33,$C$21:$C$33))),"")</f>
        <v/>
      </c>
      <c r="Y46" s="89" t="str">
        <f>IFERROR(IF(U46&lt;Z45,U46,IF(T46=$D$12,U46,Z46-X46+M46)),"")</f>
        <v/>
      </c>
      <c r="Z46" s="89" t="str">
        <f>IF(U46="","",IF(AND(I46=FALSE,J46="No"),Z45,IF(AND(M45&lt;&gt;0,N45="Yes"),ROUND(-PMT(LOOKUP(W45,'Interest Rates'!$A$5:$A$302,'Interest Rates'!$D$5:$D$302)/12,($D$12-T46+1),U46),0),IF(I46=TRUE,Z45,ROUND(-PMT(VLOOKUP(O46,$A$14:$D$28,4,FALSE)/12,($D$12-T46+1),U46),0)))))</f>
        <v/>
      </c>
      <c r="AA46" s="89" t="str">
        <f t="shared" si="9"/>
        <v/>
      </c>
      <c r="AB46" s="89" t="str">
        <f t="shared" si="10"/>
        <v/>
      </c>
      <c r="AC46" s="89"/>
      <c r="AD46" s="89"/>
      <c r="AE46" s="89"/>
      <c r="AF46" s="89"/>
      <c r="AG46" s="89"/>
      <c r="AH46" s="89"/>
      <c r="AI46" s="89"/>
      <c r="AJ46" s="89"/>
      <c r="AK46" s="89"/>
      <c r="AL46" s="145"/>
      <c r="AM46" s="128"/>
      <c r="AN46" s="89"/>
      <c r="AO46" s="89"/>
      <c r="AP46" s="89"/>
      <c r="AQ46" s="89"/>
      <c r="AR46" s="104"/>
      <c r="AS46" s="89"/>
      <c r="AT46" s="89"/>
      <c r="AU46" s="89"/>
      <c r="AV46" s="89"/>
      <c r="AW46" s="131" t="str">
        <f t="shared" si="24"/>
        <v/>
      </c>
      <c r="AX46" s="35" t="str">
        <f>IF($D$10="","",VLOOKUP(AR38,AR:AS,2,FALSE))</f>
        <v/>
      </c>
      <c r="AY46" s="36" t="str">
        <f t="shared" si="20"/>
        <v/>
      </c>
      <c r="AZ46" s="89"/>
      <c r="BA46" s="89"/>
      <c r="BB46" s="89"/>
      <c r="BC46" s="89">
        <v>2187</v>
      </c>
      <c r="BD46" s="105" t="s">
        <v>106</v>
      </c>
    </row>
    <row r="47" spans="1:56" x14ac:dyDescent="0.3">
      <c r="A47" s="82"/>
      <c r="B47" s="133"/>
      <c r="C47" s="133"/>
      <c r="D47" s="133"/>
      <c r="E47" s="133"/>
      <c r="F47" s="133"/>
      <c r="G47" s="42"/>
      <c r="H47" s="93" t="str">
        <f>IFERROR(LOOKUP(W47,$B$21:$C$33,$G$21:$G$33),"")</f>
        <v/>
      </c>
      <c r="I47" s="89" t="str">
        <f t="shared" si="5"/>
        <v/>
      </c>
      <c r="J47" s="24" t="e">
        <f>IF(I47=TRUE,"",LOOKUP(W47,$B$21:$C$33,$E$21:$E$33))</f>
        <v>#N/A</v>
      </c>
      <c r="K47" s="89" t="str">
        <f>IF(H47="","",IFERROR(LOOKUP(W47,$B$37:$C$46,$D$37:$D$46),0))</f>
        <v/>
      </c>
      <c r="L47" s="89" t="str">
        <f>IF(H47="","",COUNT($M$3:M47))</f>
        <v/>
      </c>
      <c r="M47" s="89" t="str">
        <f>IF(H47="","",IF(K47=K46,0,LOOKUP(W47,$B$37:$C$46,$D$37:$D$46)))</f>
        <v/>
      </c>
      <c r="N47" s="24" t="e">
        <f>IF(M47=0,"",VLOOKUP(W47,$B$35:$E$46,4,FALSE))</f>
        <v>#N/A</v>
      </c>
      <c r="O47" s="24" t="str">
        <f>IF(H47="","",IF(I47=TRUE,"",COUNTIF($I$2:I47,FALSE)+1))</f>
        <v/>
      </c>
      <c r="P47" s="89"/>
      <c r="Q47" s="87">
        <v>46</v>
      </c>
      <c r="R47" s="89">
        <f t="shared" si="6"/>
        <v>5</v>
      </c>
      <c r="S47" s="25" t="str">
        <f t="shared" si="0"/>
        <v>Year 5</v>
      </c>
      <c r="T47" s="89" t="str">
        <f>IF(Q47&lt;=$D$12,Q47,"")</f>
        <v/>
      </c>
      <c r="U47" s="89" t="str">
        <f t="shared" si="7"/>
        <v/>
      </c>
      <c r="V47" s="18" t="str">
        <f>IF(T47&lt;=$D$12,"Month "&amp;T47,"")</f>
        <v xml:space="preserve">Month </v>
      </c>
      <c r="W47" s="96">
        <f t="shared" si="8"/>
        <v>1397</v>
      </c>
      <c r="X47" s="89" t="str">
        <f>IFERROR(IF(I47=TRUE,ROUND(U47*H47,2)*(W47-W46),ROUND(U47*H46,2)*(LOOKUP(W46,$B$21:$C$33,$C$21:$C$33)-W46)+ROUND(U47*H47,2)*(W47-LOOKUP(W46,$B$21:$C$33,$C$21:$C$33))),"")</f>
        <v/>
      </c>
      <c r="Y47" s="89" t="str">
        <f>IFERROR(IF(U47&lt;Z46,U47,IF(T47=$D$12,U47,Z47-X47+M47)),"")</f>
        <v/>
      </c>
      <c r="Z47" s="89" t="str">
        <f>IF(U47="","",IF(AND(I47=FALSE,J47="No"),Z46,IF(AND(M46&lt;&gt;0,N46="Yes"),ROUND(-PMT(LOOKUP(W46,'Interest Rates'!$A$5:$A$302,'Interest Rates'!$D$5:$D$302)/12,($D$12-T47+1),U47),0),IF(I47=TRUE,Z46,ROUND(-PMT(VLOOKUP(O47,$A$14:$D$28,4,FALSE)/12,($D$12-T47+1),U47),0)))))</f>
        <v/>
      </c>
      <c r="AA47" s="89" t="str">
        <f t="shared" si="9"/>
        <v/>
      </c>
      <c r="AB47" s="89" t="str">
        <f t="shared" si="10"/>
        <v/>
      </c>
      <c r="AC47" s="89"/>
      <c r="AD47" s="89"/>
      <c r="AE47" s="89"/>
      <c r="AF47" s="89"/>
      <c r="AG47" s="89"/>
      <c r="AH47" s="89"/>
      <c r="AI47" s="89"/>
      <c r="AJ47" s="89"/>
      <c r="AK47" s="89"/>
      <c r="AL47" s="145"/>
      <c r="AM47" s="89"/>
      <c r="AN47" s="89"/>
      <c r="AO47" s="89"/>
      <c r="AP47" s="89"/>
      <c r="AQ47" s="89"/>
      <c r="AR47" s="104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>
        <v>2188</v>
      </c>
      <c r="BD47" s="105" t="s">
        <v>107</v>
      </c>
    </row>
    <row r="48" spans="1:56" x14ac:dyDescent="0.3">
      <c r="A48" s="82"/>
      <c r="B48" s="133"/>
      <c r="C48" s="133"/>
      <c r="D48" s="133"/>
      <c r="E48" s="133"/>
      <c r="F48" s="133"/>
      <c r="G48" s="144"/>
      <c r="H48" s="93" t="str">
        <f>IFERROR(LOOKUP(W48,$B$21:$C$33,$G$21:$G$33),"")</f>
        <v/>
      </c>
      <c r="I48" s="89" t="str">
        <f t="shared" si="5"/>
        <v/>
      </c>
      <c r="J48" s="24" t="e">
        <f>IF(I48=TRUE,"",LOOKUP(W48,$B$21:$C$33,$E$21:$E$33))</f>
        <v>#N/A</v>
      </c>
      <c r="K48" s="89" t="str">
        <f>IF(H48="","",IFERROR(LOOKUP(W48,$B$37:$C$46,$D$37:$D$46),0))</f>
        <v/>
      </c>
      <c r="L48" s="89" t="str">
        <f>IF(H48="","",COUNT($M$3:M48))</f>
        <v/>
      </c>
      <c r="M48" s="89" t="str">
        <f>IF(H48="","",IF(K48=K47,0,LOOKUP(W48,$B$37:$C$46,$D$37:$D$46)))</f>
        <v/>
      </c>
      <c r="N48" s="24" t="e">
        <f>IF(M48=0,"",VLOOKUP(W48,$B$35:$E$46,4,FALSE))</f>
        <v>#N/A</v>
      </c>
      <c r="O48" s="24" t="str">
        <f>IF(H48="","",IF(I48=TRUE,"",COUNTIF($I$2:I48,FALSE)+1))</f>
        <v/>
      </c>
      <c r="P48" s="89"/>
      <c r="Q48" s="24">
        <v>47</v>
      </c>
      <c r="R48" s="89">
        <f t="shared" si="6"/>
        <v>5</v>
      </c>
      <c r="S48" s="25" t="str">
        <f t="shared" si="0"/>
        <v>Year 5</v>
      </c>
      <c r="T48" s="89" t="str">
        <f>IF(Q48&lt;=$D$12,Q48,"")</f>
        <v/>
      </c>
      <c r="U48" s="89" t="str">
        <f t="shared" si="7"/>
        <v/>
      </c>
      <c r="V48" s="18" t="str">
        <f>IF(T48&lt;=$D$12,"Month "&amp;T48,"")</f>
        <v xml:space="preserve">Month </v>
      </c>
      <c r="W48" s="96">
        <f t="shared" si="8"/>
        <v>1428</v>
      </c>
      <c r="X48" s="89" t="str">
        <f>IFERROR(IF(I48=TRUE,ROUND(U48*H48,2)*(W48-W47),ROUND(U48*H47,2)*(LOOKUP(W47,$B$21:$C$33,$C$21:$C$33)-W47)+ROUND(U48*H48,2)*(W48-LOOKUP(W47,$B$21:$C$33,$C$21:$C$33))),"")</f>
        <v/>
      </c>
      <c r="Y48" s="89" t="str">
        <f>IFERROR(IF(U48&lt;Z47,U48,IF(T48=$D$12,U48,Z48-X48+M48)),"")</f>
        <v/>
      </c>
      <c r="Z48" s="89" t="str">
        <f>IF(U48="","",IF(AND(I48=FALSE,J48="No"),Z47,IF(AND(M47&lt;&gt;0,N47="Yes"),ROUND(-PMT(LOOKUP(W47,'Interest Rates'!$A$5:$A$302,'Interest Rates'!$D$5:$D$302)/12,($D$12-T48+1),U48),0),IF(I48=TRUE,Z47,ROUND(-PMT(VLOOKUP(O48,$A$14:$D$28,4,FALSE)/12,($D$12-T48+1),U48),0)))))</f>
        <v/>
      </c>
      <c r="AA48" s="89" t="str">
        <f t="shared" si="9"/>
        <v/>
      </c>
      <c r="AB48" s="89" t="str">
        <f t="shared" si="10"/>
        <v/>
      </c>
      <c r="AC48" s="89"/>
      <c r="AD48" s="89"/>
      <c r="AE48" s="89"/>
      <c r="AF48" s="89"/>
      <c r="AG48" s="89"/>
      <c r="AH48" s="89"/>
      <c r="AI48" s="89"/>
      <c r="AJ48" s="89"/>
      <c r="AK48" s="89"/>
      <c r="AL48" s="145"/>
      <c r="AM48" s="89"/>
      <c r="AN48" s="89"/>
      <c r="AO48" s="89"/>
      <c r="AP48" s="89"/>
      <c r="AQ48" s="89"/>
      <c r="AR48" s="104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>
        <v>2189</v>
      </c>
      <c r="BD48" s="105" t="s">
        <v>108</v>
      </c>
    </row>
    <row r="49" spans="1:56" x14ac:dyDescent="0.3">
      <c r="A49" s="82"/>
      <c r="B49" s="133"/>
      <c r="C49" s="133"/>
      <c r="D49" s="133"/>
      <c r="E49" s="133"/>
      <c r="F49" s="133"/>
      <c r="G49" s="144"/>
      <c r="H49" s="93" t="str">
        <f>IFERROR(LOOKUP(W49,$B$21:$C$33,$G$21:$G$33),"")</f>
        <v/>
      </c>
      <c r="I49" s="89" t="str">
        <f t="shared" si="5"/>
        <v/>
      </c>
      <c r="J49" s="24" t="e">
        <f>IF(I49=TRUE,"",LOOKUP(W49,$B$21:$C$33,$E$21:$E$33))</f>
        <v>#N/A</v>
      </c>
      <c r="K49" s="89" t="str">
        <f>IF(H49="","",IFERROR(LOOKUP(W49,$B$37:$C$46,$D$37:$D$46),0))</f>
        <v/>
      </c>
      <c r="L49" s="89" t="str">
        <f>IF(H49="","",COUNT($M$3:M49))</f>
        <v/>
      </c>
      <c r="M49" s="89" t="str">
        <f>IF(H49="","",IF(K49=K48,0,LOOKUP(W49,$B$37:$C$46,$D$37:$D$46)))</f>
        <v/>
      </c>
      <c r="N49" s="24" t="e">
        <f>IF(M49=0,"",VLOOKUP(W49,$B$35:$E$46,4,FALSE))</f>
        <v>#N/A</v>
      </c>
      <c r="O49" s="24" t="str">
        <f>IF(H49="","",IF(I49=TRUE,"",COUNTIF($I$2:I49,FALSE)+1))</f>
        <v/>
      </c>
      <c r="P49" s="89"/>
      <c r="Q49" s="87">
        <v>48</v>
      </c>
      <c r="R49" s="89">
        <f t="shared" si="6"/>
        <v>5</v>
      </c>
      <c r="S49" s="25" t="str">
        <f t="shared" si="0"/>
        <v>Year 5</v>
      </c>
      <c r="T49" s="89" t="str">
        <f>IF(Q49&lt;=$D$12,Q49,"")</f>
        <v/>
      </c>
      <c r="U49" s="89" t="str">
        <f t="shared" si="7"/>
        <v/>
      </c>
      <c r="V49" s="18" t="str">
        <f>IF(T49&lt;=$D$12,"Month "&amp;T49,"")</f>
        <v xml:space="preserve">Month </v>
      </c>
      <c r="W49" s="96">
        <f t="shared" si="8"/>
        <v>1458</v>
      </c>
      <c r="X49" s="89" t="str">
        <f>IFERROR(IF(I49=TRUE,ROUND(U49*H49,2)*(W49-W48),ROUND(U49*H48,2)*(LOOKUP(W48,$B$21:$C$33,$C$21:$C$33)-W48)+ROUND(U49*H49,2)*(W49-LOOKUP(W48,$B$21:$C$33,$C$21:$C$33))),"")</f>
        <v/>
      </c>
      <c r="Y49" s="89" t="str">
        <f>IFERROR(IF(U49&lt;Z48,U49,IF(T49=$D$12,U49,Z49-X49+M49)),"")</f>
        <v/>
      </c>
      <c r="Z49" s="89" t="str">
        <f>IF(U49="","",IF(AND(I49=FALSE,J49="No"),Z48,IF(AND(M48&lt;&gt;0,N48="Yes"),ROUND(-PMT(LOOKUP(W48,'Interest Rates'!$A$5:$A$302,'Interest Rates'!$D$5:$D$302)/12,($D$12-T49+1),U49),0),IF(I49=TRUE,Z48,ROUND(-PMT(VLOOKUP(O49,$A$14:$D$28,4,FALSE)/12,($D$12-T49+1),U49),0)))))</f>
        <v/>
      </c>
      <c r="AA49" s="89" t="str">
        <f t="shared" si="9"/>
        <v/>
      </c>
      <c r="AB49" s="89" t="str">
        <f t="shared" si="10"/>
        <v/>
      </c>
      <c r="AC49" s="89"/>
      <c r="AD49" s="89"/>
      <c r="AE49" s="89"/>
      <c r="AF49" s="89"/>
      <c r="AG49" s="89"/>
      <c r="AH49" s="89"/>
      <c r="AI49" s="89"/>
      <c r="AJ49" s="89"/>
      <c r="AK49" s="89"/>
      <c r="AL49" s="145"/>
      <c r="AM49" s="89"/>
      <c r="AN49" s="89"/>
      <c r="AO49" s="89"/>
      <c r="AP49" s="89"/>
      <c r="AQ49" s="89"/>
      <c r="AR49" s="104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>
        <v>2190</v>
      </c>
      <c r="BD49" s="105" t="s">
        <v>109</v>
      </c>
    </row>
    <row r="50" spans="1:56" x14ac:dyDescent="0.3">
      <c r="A50" s="82"/>
      <c r="B50" s="133"/>
      <c r="C50" s="133"/>
      <c r="D50" s="133"/>
      <c r="E50" s="133"/>
      <c r="F50" s="133"/>
      <c r="G50" s="144"/>
      <c r="H50" s="93" t="str">
        <f>IFERROR(LOOKUP(W50,$B$21:$C$33,$G$21:$G$33),"")</f>
        <v/>
      </c>
      <c r="I50" s="89" t="str">
        <f t="shared" si="5"/>
        <v/>
      </c>
      <c r="J50" s="24" t="e">
        <f>IF(I50=TRUE,"",LOOKUP(W50,$B$21:$C$33,$E$21:$E$33))</f>
        <v>#N/A</v>
      </c>
      <c r="K50" s="89" t="str">
        <f>IF(H50="","",IFERROR(LOOKUP(W50,$B$37:$C$46,$D$37:$D$46),0))</f>
        <v/>
      </c>
      <c r="L50" s="89" t="str">
        <f>IF(H50="","",COUNT($M$3:M50))</f>
        <v/>
      </c>
      <c r="M50" s="89" t="str">
        <f>IF(H50="","",IF(K50=K49,0,LOOKUP(W50,$B$37:$C$46,$D$37:$D$46)))</f>
        <v/>
      </c>
      <c r="N50" s="24" t="e">
        <f>IF(M50=0,"",VLOOKUP(W50,$B$35:$E$46,4,FALSE))</f>
        <v>#N/A</v>
      </c>
      <c r="O50" s="24" t="str">
        <f>IF(H50="","",IF(I50=TRUE,"",COUNTIF($I$2:I50,FALSE)+1))</f>
        <v/>
      </c>
      <c r="P50" s="89"/>
      <c r="Q50" s="24">
        <v>49</v>
      </c>
      <c r="R50" s="89">
        <f t="shared" si="6"/>
        <v>5</v>
      </c>
      <c r="S50" s="25" t="str">
        <f t="shared" si="0"/>
        <v>Year 5</v>
      </c>
      <c r="T50" s="89" t="str">
        <f>IF(Q50&lt;=$D$12,Q50,"")</f>
        <v/>
      </c>
      <c r="U50" s="89" t="str">
        <f t="shared" si="7"/>
        <v/>
      </c>
      <c r="V50" s="18" t="str">
        <f>IF(T50&lt;=$D$12,"Month "&amp;T50,"")</f>
        <v xml:space="preserve">Month </v>
      </c>
      <c r="W50" s="96">
        <f t="shared" si="8"/>
        <v>1489</v>
      </c>
      <c r="X50" s="89" t="str">
        <f>IFERROR(IF(I50=TRUE,ROUND(U50*H50,2)*(W50-W49),ROUND(U50*H49,2)*(LOOKUP(W49,$B$21:$C$33,$C$21:$C$33)-W49)+ROUND(U50*H50,2)*(W50-LOOKUP(W49,$B$21:$C$33,$C$21:$C$33))),"")</f>
        <v/>
      </c>
      <c r="Y50" s="89" t="str">
        <f>IFERROR(IF(U50&lt;Z49,U50,IF(T50=$D$12,U50,Z50-X50+M50)),"")</f>
        <v/>
      </c>
      <c r="Z50" s="89" t="str">
        <f>IF(U50="","",IF(AND(I50=FALSE,J50="No"),Z49,IF(AND(M49&lt;&gt;0,N49="Yes"),ROUND(-PMT(LOOKUP(W49,'Interest Rates'!$A$5:$A$302,'Interest Rates'!$D$5:$D$302)/12,($D$12-T50+1),U50),0),IF(I50=TRUE,Z49,ROUND(-PMT(VLOOKUP(O50,$A$14:$D$28,4,FALSE)/12,($D$12-T50+1),U50),0)))))</f>
        <v/>
      </c>
      <c r="AA50" s="89" t="str">
        <f t="shared" si="9"/>
        <v/>
      </c>
      <c r="AB50" s="89" t="str">
        <f t="shared" si="10"/>
        <v/>
      </c>
      <c r="AC50" s="89"/>
      <c r="AD50" s="89"/>
      <c r="AE50" s="89"/>
      <c r="AF50" s="89"/>
      <c r="AG50" s="89"/>
      <c r="AH50" s="89"/>
      <c r="AI50" s="89"/>
      <c r="AJ50" s="89"/>
      <c r="AK50" s="89"/>
      <c r="AL50" s="145"/>
      <c r="AM50" s="89"/>
      <c r="AN50" s="89"/>
      <c r="AO50" s="89"/>
      <c r="AP50" s="89"/>
      <c r="AQ50" s="89"/>
      <c r="AR50" s="104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>
        <v>2192</v>
      </c>
      <c r="BD50" s="105" t="s">
        <v>110</v>
      </c>
    </row>
    <row r="51" spans="1:56" x14ac:dyDescent="0.3">
      <c r="A51" s="82"/>
      <c r="B51" s="133"/>
      <c r="C51" s="133"/>
      <c r="D51" s="133"/>
      <c r="E51" s="133"/>
      <c r="F51" s="133"/>
      <c r="G51" s="144"/>
      <c r="H51" s="93" t="str">
        <f>IFERROR(LOOKUP(W51,$B$21:$C$33,$G$21:$G$33),"")</f>
        <v/>
      </c>
      <c r="I51" s="89" t="str">
        <f t="shared" si="5"/>
        <v/>
      </c>
      <c r="J51" s="24" t="e">
        <f>IF(I51=TRUE,"",LOOKUP(W51,$B$21:$C$33,$E$21:$E$33))</f>
        <v>#N/A</v>
      </c>
      <c r="K51" s="89" t="str">
        <f>IF(H51="","",IFERROR(LOOKUP(W51,$B$37:$C$46,$D$37:$D$46),0))</f>
        <v/>
      </c>
      <c r="L51" s="89" t="str">
        <f>IF(H51="","",COUNT($M$3:M51))</f>
        <v/>
      </c>
      <c r="M51" s="89" t="str">
        <f>IF(H51="","",IF(K51=K50,0,LOOKUP(W51,$B$37:$C$46,$D$37:$D$46)))</f>
        <v/>
      </c>
      <c r="N51" s="24" t="e">
        <f>IF(M51=0,"",VLOOKUP(W51,$B$35:$E$46,4,FALSE))</f>
        <v>#N/A</v>
      </c>
      <c r="O51" s="24" t="str">
        <f>IF(H51="","",IF(I51=TRUE,"",COUNTIF($I$2:I51,FALSE)+1))</f>
        <v/>
      </c>
      <c r="P51" s="89"/>
      <c r="Q51" s="87">
        <v>50</v>
      </c>
      <c r="R51" s="89">
        <f t="shared" si="6"/>
        <v>5</v>
      </c>
      <c r="S51" s="25" t="str">
        <f t="shared" si="0"/>
        <v>Year 5</v>
      </c>
      <c r="T51" s="89" t="str">
        <f>IF(Q51&lt;=$D$12,Q51,"")</f>
        <v/>
      </c>
      <c r="U51" s="89" t="str">
        <f t="shared" si="7"/>
        <v/>
      </c>
      <c r="V51" s="18" t="str">
        <f>IF(T51&lt;=$D$12,"Month "&amp;T51,"")</f>
        <v xml:space="preserve">Month </v>
      </c>
      <c r="W51" s="96">
        <f t="shared" si="8"/>
        <v>1520</v>
      </c>
      <c r="X51" s="89" t="str">
        <f>IFERROR(IF(I51=TRUE,ROUND(U51*H51,2)*(W51-W50),ROUND(U51*H50,2)*(LOOKUP(W50,$B$21:$C$33,$C$21:$C$33)-W50)+ROUND(U51*H51,2)*(W51-LOOKUP(W50,$B$21:$C$33,$C$21:$C$33))),"")</f>
        <v/>
      </c>
      <c r="Y51" s="89" t="str">
        <f>IFERROR(IF(U51&lt;Z50,U51,IF(T51=$D$12,U51,Z51-X51+M51)),"")</f>
        <v/>
      </c>
      <c r="Z51" s="89" t="str">
        <f>IF(U51="","",IF(AND(I51=FALSE,J51="No"),Z50,IF(AND(M50&lt;&gt;0,N50="Yes"),ROUND(-PMT(LOOKUP(W50,'Interest Rates'!$A$5:$A$302,'Interest Rates'!$D$5:$D$302)/12,($D$12-T51+1),U51),0),IF(I51=TRUE,Z50,ROUND(-PMT(VLOOKUP(O51,$A$14:$D$28,4,FALSE)/12,($D$12-T51+1),U51),0)))))</f>
        <v/>
      </c>
      <c r="AA51" s="89" t="str">
        <f t="shared" si="9"/>
        <v/>
      </c>
      <c r="AB51" s="89" t="str">
        <f t="shared" si="10"/>
        <v/>
      </c>
      <c r="AC51" s="89"/>
      <c r="AD51" s="89"/>
      <c r="AE51" s="89"/>
      <c r="AF51" s="89"/>
      <c r="AG51" s="89"/>
      <c r="AH51" s="89"/>
      <c r="AI51" s="89"/>
      <c r="AJ51" s="89"/>
      <c r="AK51" s="89"/>
      <c r="AL51" s="128"/>
      <c r="AM51" s="89"/>
      <c r="AN51" s="89"/>
      <c r="AO51" s="89"/>
      <c r="AP51" s="89"/>
      <c r="AQ51" s="89"/>
      <c r="AR51" s="104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>
        <v>2193</v>
      </c>
      <c r="BD51" s="105" t="s">
        <v>111</v>
      </c>
    </row>
    <row r="52" spans="1:56" x14ac:dyDescent="0.3">
      <c r="A52" s="82"/>
      <c r="B52" s="133"/>
      <c r="C52" s="133"/>
      <c r="D52" s="133"/>
      <c r="E52" s="133"/>
      <c r="F52" s="133"/>
      <c r="G52" s="144"/>
      <c r="H52" s="93" t="str">
        <f>IFERROR(LOOKUP(W52,$B$21:$C$33,$G$21:$G$33),"")</f>
        <v/>
      </c>
      <c r="I52" s="89" t="str">
        <f t="shared" si="5"/>
        <v/>
      </c>
      <c r="J52" s="24" t="e">
        <f>IF(I52=TRUE,"",LOOKUP(W52,$B$21:$C$33,$E$21:$E$33))</f>
        <v>#N/A</v>
      </c>
      <c r="K52" s="89" t="str">
        <f>IF(H52="","",IFERROR(LOOKUP(W52,$B$37:$C$46,$D$37:$D$46),0))</f>
        <v/>
      </c>
      <c r="L52" s="89" t="str">
        <f>IF(H52="","",COUNT($M$3:M52))</f>
        <v/>
      </c>
      <c r="M52" s="89" t="str">
        <f>IF(H52="","",IF(K52=K51,0,LOOKUP(W52,$B$37:$C$46,$D$37:$D$46)))</f>
        <v/>
      </c>
      <c r="N52" s="24" t="e">
        <f>IF(M52=0,"",VLOOKUP(W52,$B$35:$E$46,4,FALSE))</f>
        <v>#N/A</v>
      </c>
      <c r="O52" s="24" t="str">
        <f>IF(H52="","",IF(I52=TRUE,"",COUNTIF($I$2:I52,FALSE)+1))</f>
        <v/>
      </c>
      <c r="P52" s="89"/>
      <c r="Q52" s="24">
        <v>51</v>
      </c>
      <c r="R52" s="89">
        <f t="shared" si="6"/>
        <v>5</v>
      </c>
      <c r="S52" s="25" t="str">
        <f t="shared" si="0"/>
        <v>Year 5</v>
      </c>
      <c r="T52" s="89" t="str">
        <f>IF(Q52&lt;=$D$12,Q52,"")</f>
        <v/>
      </c>
      <c r="U52" s="89" t="str">
        <f t="shared" si="7"/>
        <v/>
      </c>
      <c r="V52" s="18" t="str">
        <f>IF(T52&lt;=$D$12,"Month "&amp;T52,"")</f>
        <v xml:space="preserve">Month </v>
      </c>
      <c r="W52" s="96">
        <f t="shared" si="8"/>
        <v>1549</v>
      </c>
      <c r="X52" s="89" t="str">
        <f>IFERROR(IF(I52=TRUE,ROUND(U52*H52,2)*(W52-W51),ROUND(U52*H51,2)*(LOOKUP(W51,$B$21:$C$33,$C$21:$C$33)-W51)+ROUND(U52*H52,2)*(W52-LOOKUP(W51,$B$21:$C$33,$C$21:$C$33))),"")</f>
        <v/>
      </c>
      <c r="Y52" s="89" t="str">
        <f>IFERROR(IF(U52&lt;Z51,U52,IF(T52=$D$12,U52,Z52-X52+M52)),"")</f>
        <v/>
      </c>
      <c r="Z52" s="89" t="str">
        <f>IF(U52="","",IF(AND(I52=FALSE,J52="No"),Z51,IF(AND(M51&lt;&gt;0,N51="Yes"),ROUND(-PMT(LOOKUP(W51,'Interest Rates'!$A$5:$A$302,'Interest Rates'!$D$5:$D$302)/12,($D$12-T52+1),U52),0),IF(I52=TRUE,Z51,ROUND(-PMT(VLOOKUP(O52,$A$14:$D$28,4,FALSE)/12,($D$12-T52+1),U52),0)))))</f>
        <v/>
      </c>
      <c r="AA52" s="89" t="str">
        <f t="shared" si="9"/>
        <v/>
      </c>
      <c r="AB52" s="89" t="str">
        <f t="shared" si="10"/>
        <v/>
      </c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104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>
        <v>2226</v>
      </c>
      <c r="BD52" s="105" t="s">
        <v>112</v>
      </c>
    </row>
    <row r="53" spans="1:56" x14ac:dyDescent="0.3">
      <c r="A53" s="82"/>
      <c r="B53" s="133"/>
      <c r="C53" s="133"/>
      <c r="D53" s="133"/>
      <c r="E53" s="133"/>
      <c r="F53" s="133"/>
      <c r="G53" s="144"/>
      <c r="H53" s="93" t="str">
        <f>IFERROR(LOOKUP(W53,$B$21:$C$33,$G$21:$G$33),"")</f>
        <v/>
      </c>
      <c r="I53" s="89" t="str">
        <f t="shared" si="5"/>
        <v/>
      </c>
      <c r="J53" s="24" t="e">
        <f>IF(I53=TRUE,"",LOOKUP(W53,$B$21:$C$33,$E$21:$E$33))</f>
        <v>#N/A</v>
      </c>
      <c r="K53" s="89" t="str">
        <f>IF(H53="","",IFERROR(LOOKUP(W53,$B$37:$C$46,$D$37:$D$46),0))</f>
        <v/>
      </c>
      <c r="L53" s="89" t="str">
        <f>IF(H53="","",COUNT($M$3:M53))</f>
        <v/>
      </c>
      <c r="M53" s="89" t="str">
        <f>IF(H53="","",IF(K53=K52,0,LOOKUP(W53,$B$37:$C$46,$D$37:$D$46)))</f>
        <v/>
      </c>
      <c r="N53" s="24" t="e">
        <f>IF(M53=0,"",VLOOKUP(W53,$B$35:$E$46,4,FALSE))</f>
        <v>#N/A</v>
      </c>
      <c r="O53" s="24" t="str">
        <f>IF(H53="","",IF(I53=TRUE,"",COUNTIF($I$2:I53,FALSE)+1))</f>
        <v/>
      </c>
      <c r="P53" s="89"/>
      <c r="Q53" s="87">
        <v>52</v>
      </c>
      <c r="R53" s="89">
        <f t="shared" si="6"/>
        <v>6</v>
      </c>
      <c r="S53" s="25" t="str">
        <f t="shared" si="0"/>
        <v>Year 6</v>
      </c>
      <c r="T53" s="89" t="str">
        <f>IF(Q53&lt;=$D$12,Q53,"")</f>
        <v/>
      </c>
      <c r="U53" s="89" t="str">
        <f t="shared" si="7"/>
        <v/>
      </c>
      <c r="V53" s="18" t="str">
        <f>IF(T53&lt;=$D$12,"Month "&amp;T53,"")</f>
        <v xml:space="preserve">Month </v>
      </c>
      <c r="W53" s="96">
        <f t="shared" si="8"/>
        <v>1580</v>
      </c>
      <c r="X53" s="89" t="str">
        <f>IFERROR(IF(I53=TRUE,ROUND(U53*H53,2)*(W53-W52),ROUND(U53*H52,2)*(LOOKUP(W52,$B$21:$C$33,$C$21:$C$33)-W52)+ROUND(U53*H53,2)*(W53-LOOKUP(W52,$B$21:$C$33,$C$21:$C$33))),"")</f>
        <v/>
      </c>
      <c r="Y53" s="89" t="str">
        <f>IFERROR(IF(U53&lt;Z52,U53,IF(T53=$D$12,U53,Z53-X53+M53)),"")</f>
        <v/>
      </c>
      <c r="Z53" s="89" t="str">
        <f>IF(U53="","",IF(AND(I53=FALSE,J53="No"),Z52,IF(AND(M52&lt;&gt;0,N52="Yes"),ROUND(-PMT(LOOKUP(W52,'Interest Rates'!$A$5:$A$302,'Interest Rates'!$D$5:$D$302)/12,($D$12-T53+1),U53),0),IF(I53=TRUE,Z52,ROUND(-PMT(VLOOKUP(O53,$A$14:$D$28,4,FALSE)/12,($D$12-T53+1),U53),0)))))</f>
        <v/>
      </c>
      <c r="AA53" s="89" t="str">
        <f t="shared" si="9"/>
        <v/>
      </c>
      <c r="AB53" s="89" t="str">
        <f t="shared" si="10"/>
        <v/>
      </c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104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>
        <v>2227</v>
      </c>
      <c r="BD53" s="105" t="s">
        <v>113</v>
      </c>
    </row>
    <row r="54" spans="1:56" x14ac:dyDescent="0.3">
      <c r="A54" s="82"/>
      <c r="B54" s="133"/>
      <c r="C54" s="133"/>
      <c r="D54" s="133"/>
      <c r="E54" s="133"/>
      <c r="F54" s="133"/>
      <c r="G54" s="144"/>
      <c r="H54" s="93" t="str">
        <f>IFERROR(LOOKUP(W54,$B$21:$C$33,$G$21:$G$33),"")</f>
        <v/>
      </c>
      <c r="I54" s="89" t="str">
        <f t="shared" si="5"/>
        <v/>
      </c>
      <c r="J54" s="24" t="e">
        <f>IF(I54=TRUE,"",LOOKUP(W54,$B$21:$C$33,$E$21:$E$33))</f>
        <v>#N/A</v>
      </c>
      <c r="K54" s="89" t="str">
        <f>IF(H54="","",IFERROR(LOOKUP(W54,$B$37:$C$46,$D$37:$D$46),0))</f>
        <v/>
      </c>
      <c r="L54" s="89" t="str">
        <f>IF(H54="","",COUNT($M$3:M54))</f>
        <v/>
      </c>
      <c r="M54" s="89" t="str">
        <f>IF(H54="","",IF(K54=K53,0,LOOKUP(W54,$B$37:$C$46,$D$37:$D$46)))</f>
        <v/>
      </c>
      <c r="N54" s="24" t="e">
        <f>IF(M54=0,"",VLOOKUP(W54,$B$35:$E$46,4,FALSE))</f>
        <v>#N/A</v>
      </c>
      <c r="O54" s="24" t="str">
        <f>IF(H54="","",IF(I54=TRUE,"",COUNTIF($I$2:I54,FALSE)+1))</f>
        <v/>
      </c>
      <c r="P54" s="89"/>
      <c r="Q54" s="24">
        <v>53</v>
      </c>
      <c r="R54" s="89">
        <f t="shared" si="6"/>
        <v>6</v>
      </c>
      <c r="S54" s="25" t="str">
        <f t="shared" si="0"/>
        <v>Year 6</v>
      </c>
      <c r="T54" s="89" t="str">
        <f>IF(Q54&lt;=$D$12,Q54,"")</f>
        <v/>
      </c>
      <c r="U54" s="89" t="str">
        <f t="shared" si="7"/>
        <v/>
      </c>
      <c r="V54" s="18" t="str">
        <f>IF(T54&lt;=$D$12,"Month "&amp;T54,"")</f>
        <v xml:space="preserve">Month </v>
      </c>
      <c r="W54" s="96">
        <f t="shared" si="8"/>
        <v>1610</v>
      </c>
      <c r="X54" s="89" t="str">
        <f>IFERROR(IF(I54=TRUE,ROUND(U54*H54,2)*(W54-W53),ROUND(U54*H53,2)*(LOOKUP(W53,$B$21:$C$33,$C$21:$C$33)-W53)+ROUND(U54*H54,2)*(W54-LOOKUP(W53,$B$21:$C$33,$C$21:$C$33))),"")</f>
        <v/>
      </c>
      <c r="Y54" s="89" t="str">
        <f>IFERROR(IF(U54&lt;Z53,U54,IF(T54=$D$12,U54,Z54-X54+M54)),"")</f>
        <v/>
      </c>
      <c r="Z54" s="89" t="str">
        <f>IF(U54="","",IF(AND(I54=FALSE,J54="No"),Z53,IF(AND(M53&lt;&gt;0,N53="Yes"),ROUND(-PMT(LOOKUP(W53,'Interest Rates'!$A$5:$A$302,'Interest Rates'!$D$5:$D$302)/12,($D$12-T54+1),U54),0),IF(I54=TRUE,Z53,ROUND(-PMT(VLOOKUP(O54,$A$14:$D$28,4,FALSE)/12,($D$12-T54+1),U54),0)))))</f>
        <v/>
      </c>
      <c r="AA54" s="89" t="str">
        <f t="shared" si="9"/>
        <v/>
      </c>
      <c r="AB54" s="89" t="str">
        <f t="shared" si="10"/>
        <v/>
      </c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104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>
        <v>2228</v>
      </c>
      <c r="BD54" s="105" t="s">
        <v>114</v>
      </c>
    </row>
    <row r="55" spans="1:56" x14ac:dyDescent="0.3">
      <c r="A55" s="82"/>
      <c r="B55" s="89"/>
      <c r="C55" s="89"/>
      <c r="D55" s="89"/>
      <c r="E55" s="89"/>
      <c r="F55" s="89"/>
      <c r="G55" s="87"/>
      <c r="H55" s="93" t="str">
        <f>IFERROR(LOOKUP(W55,$B$21:$C$33,$G$21:$G$33),"")</f>
        <v/>
      </c>
      <c r="I55" s="89" t="str">
        <f t="shared" si="5"/>
        <v/>
      </c>
      <c r="J55" s="24" t="e">
        <f>IF(I55=TRUE,"",LOOKUP(W55,$B$21:$C$33,$E$21:$E$33))</f>
        <v>#N/A</v>
      </c>
      <c r="K55" s="89" t="str">
        <f>IF(H55="","",IFERROR(LOOKUP(W55,$B$37:$C$46,$D$37:$D$46),0))</f>
        <v/>
      </c>
      <c r="L55" s="89" t="str">
        <f>IF(H55="","",COUNT($M$3:M55))</f>
        <v/>
      </c>
      <c r="M55" s="89" t="str">
        <f>IF(H55="","",IF(K55=K54,0,LOOKUP(W55,$B$37:$C$46,$D$37:$D$46)))</f>
        <v/>
      </c>
      <c r="N55" s="24" t="e">
        <f>IF(M55=0,"",VLOOKUP(W55,$B$35:$E$46,4,FALSE))</f>
        <v>#N/A</v>
      </c>
      <c r="O55" s="24" t="str">
        <f>IF(H55="","",IF(I55=TRUE,"",COUNTIF($I$2:I55,FALSE)+1))</f>
        <v/>
      </c>
      <c r="P55" s="89"/>
      <c r="Q55" s="87">
        <v>54</v>
      </c>
      <c r="R55" s="89">
        <f t="shared" si="6"/>
        <v>6</v>
      </c>
      <c r="S55" s="25" t="str">
        <f t="shared" si="0"/>
        <v>Year 6</v>
      </c>
      <c r="T55" s="89" t="str">
        <f>IF(Q55&lt;=$D$12,Q55,"")</f>
        <v/>
      </c>
      <c r="U55" s="89" t="str">
        <f t="shared" si="7"/>
        <v/>
      </c>
      <c r="V55" s="18" t="str">
        <f>IF(T55&lt;=$D$12,"Month "&amp;T55,"")</f>
        <v xml:space="preserve">Month </v>
      </c>
      <c r="W55" s="96">
        <f t="shared" si="8"/>
        <v>1641</v>
      </c>
      <c r="X55" s="89" t="str">
        <f>IFERROR(IF(I55=TRUE,ROUND(U55*H55,2)*(W55-W54),ROUND(U55*H54,2)*(LOOKUP(W54,$B$21:$C$33,$C$21:$C$33)-W54)+ROUND(U55*H55,2)*(W55-LOOKUP(W54,$B$21:$C$33,$C$21:$C$33))),"")</f>
        <v/>
      </c>
      <c r="Y55" s="89" t="str">
        <f>IFERROR(IF(U55&lt;Z54,U55,IF(T55=$D$12,U55,Z55-X55+M55)),"")</f>
        <v/>
      </c>
      <c r="Z55" s="89" t="str">
        <f>IF(U55="","",IF(AND(I55=FALSE,J55="No"),Z54,IF(AND(M54&lt;&gt;0,N54="Yes"),ROUND(-PMT(LOOKUP(W54,'Interest Rates'!$A$5:$A$302,'Interest Rates'!$D$5:$D$302)/12,($D$12-T55+1),U55),0),IF(I55=TRUE,Z54,ROUND(-PMT(VLOOKUP(O55,$A$14:$D$28,4,FALSE)/12,($D$12-T55+1),U55),0)))))</f>
        <v/>
      </c>
      <c r="AA55" s="89" t="str">
        <f t="shared" si="9"/>
        <v/>
      </c>
      <c r="AB55" s="89" t="str">
        <f t="shared" si="10"/>
        <v/>
      </c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104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>
        <v>2231</v>
      </c>
      <c r="BD55" s="105" t="s">
        <v>115</v>
      </c>
    </row>
    <row r="56" spans="1:56" x14ac:dyDescent="0.3">
      <c r="B56" s="89"/>
      <c r="C56" s="89"/>
      <c r="D56" s="89"/>
      <c r="E56" s="89"/>
      <c r="F56" s="89"/>
      <c r="G56" s="87"/>
      <c r="H56" s="93" t="str">
        <f>IFERROR(LOOKUP(W56,$B$21:$C$33,$G$21:$G$33),"")</f>
        <v/>
      </c>
      <c r="I56" s="89" t="str">
        <f t="shared" si="5"/>
        <v/>
      </c>
      <c r="J56" s="24" t="e">
        <f>IF(I56=TRUE,"",LOOKUP(W56,$B$21:$C$33,$E$21:$E$33))</f>
        <v>#N/A</v>
      </c>
      <c r="K56" s="89" t="str">
        <f>IF(H56="","",IFERROR(LOOKUP(W56,$B$37:$C$46,$D$37:$D$46),0))</f>
        <v/>
      </c>
      <c r="L56" s="89" t="str">
        <f>IF(H56="","",COUNT($M$3:M56))</f>
        <v/>
      </c>
      <c r="M56" s="89" t="str">
        <f>IF(H56="","",IF(K56=K55,0,LOOKUP(W56,$B$37:$C$46,$D$37:$D$46)))</f>
        <v/>
      </c>
      <c r="N56" s="24" t="e">
        <f>IF(M56=0,"",VLOOKUP(W56,$B$35:$E$46,4,FALSE))</f>
        <v>#N/A</v>
      </c>
      <c r="O56" s="24" t="str">
        <f>IF(H56="","",IF(I56=TRUE,"",COUNTIF($I$2:I56,FALSE)+1))</f>
        <v/>
      </c>
      <c r="P56" s="89"/>
      <c r="Q56" s="24">
        <v>55</v>
      </c>
      <c r="R56" s="89">
        <f t="shared" si="6"/>
        <v>6</v>
      </c>
      <c r="S56" s="25" t="str">
        <f t="shared" si="0"/>
        <v>Year 6</v>
      </c>
      <c r="T56" s="89" t="str">
        <f>IF(Q56&lt;=$D$12,Q56,"")</f>
        <v/>
      </c>
      <c r="U56" s="89" t="str">
        <f t="shared" si="7"/>
        <v/>
      </c>
      <c r="V56" s="18" t="str">
        <f>IF(T56&lt;=$D$12,"Month "&amp;T56,"")</f>
        <v xml:space="preserve">Month </v>
      </c>
      <c r="W56" s="96">
        <f t="shared" si="8"/>
        <v>1671</v>
      </c>
      <c r="X56" s="89" t="str">
        <f>IFERROR(IF(I56=TRUE,ROUND(U56*H56,2)*(W56-W55),ROUND(U56*H55,2)*(LOOKUP(W55,$B$21:$C$33,$C$21:$C$33)-W55)+ROUND(U56*H56,2)*(W56-LOOKUP(W55,$B$21:$C$33,$C$21:$C$33))),"")</f>
        <v/>
      </c>
      <c r="Y56" s="89" t="str">
        <f>IFERROR(IF(U56&lt;Z55,U56,IF(T56=$D$12,U56,Z56-X56+M56)),"")</f>
        <v/>
      </c>
      <c r="Z56" s="89" t="str">
        <f>IF(U56="","",IF(AND(I56=FALSE,J56="No"),Z55,IF(AND(M55&lt;&gt;0,N55="Yes"),ROUND(-PMT(LOOKUP(W55,'Interest Rates'!$A$5:$A$302,'Interest Rates'!$D$5:$D$302)/12,($D$12-T56+1),U56),0),IF(I56=TRUE,Z55,ROUND(-PMT(VLOOKUP(O56,$A$14:$D$28,4,FALSE)/12,($D$12-T56+1),U56),0)))))</f>
        <v/>
      </c>
      <c r="AA56" s="89" t="str">
        <f t="shared" si="9"/>
        <v/>
      </c>
      <c r="AB56" s="89" t="str">
        <f t="shared" si="10"/>
        <v/>
      </c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104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>
        <v>2239</v>
      </c>
      <c r="BD56" s="105" t="s">
        <v>116</v>
      </c>
    </row>
    <row r="57" spans="1:56" x14ac:dyDescent="0.3">
      <c r="B57" s="89"/>
      <c r="C57" s="89"/>
      <c r="D57" s="89"/>
      <c r="E57" s="89"/>
      <c r="F57" s="89"/>
      <c r="G57" s="87"/>
      <c r="H57" s="93" t="str">
        <f>IFERROR(LOOKUP(W57,$B$21:$C$33,$G$21:$G$33),"")</f>
        <v/>
      </c>
      <c r="I57" s="89" t="str">
        <f t="shared" si="5"/>
        <v/>
      </c>
      <c r="J57" s="24" t="e">
        <f>IF(I57=TRUE,"",LOOKUP(W57,$B$21:$C$33,$E$21:$E$33))</f>
        <v>#N/A</v>
      </c>
      <c r="K57" s="89" t="str">
        <f>IF(H57="","",IFERROR(LOOKUP(W57,$B$37:$C$46,$D$37:$D$46),0))</f>
        <v/>
      </c>
      <c r="L57" s="89" t="str">
        <f>IF(H57="","",COUNT($M$3:M57))</f>
        <v/>
      </c>
      <c r="M57" s="89" t="str">
        <f>IF(H57="","",IF(K57=K56,0,LOOKUP(W57,$B$37:$C$46,$D$37:$D$46)))</f>
        <v/>
      </c>
      <c r="N57" s="24" t="e">
        <f>IF(M57=0,"",VLOOKUP(W57,$B$35:$E$46,4,FALSE))</f>
        <v>#N/A</v>
      </c>
      <c r="O57" s="24" t="str">
        <f>IF(H57="","",IF(I57=TRUE,"",COUNTIF($I$2:I57,FALSE)+1))</f>
        <v/>
      </c>
      <c r="P57" s="89"/>
      <c r="Q57" s="87">
        <v>56</v>
      </c>
      <c r="R57" s="89">
        <f t="shared" si="6"/>
        <v>6</v>
      </c>
      <c r="S57" s="25" t="str">
        <f t="shared" si="0"/>
        <v>Year 6</v>
      </c>
      <c r="T57" s="89" t="str">
        <f>IF(Q57&lt;=$D$12,Q57,"")</f>
        <v/>
      </c>
      <c r="U57" s="89" t="str">
        <f t="shared" si="7"/>
        <v/>
      </c>
      <c r="V57" s="18" t="str">
        <f>IF(T57&lt;=$D$12,"Month "&amp;T57,"")</f>
        <v xml:space="preserve">Month </v>
      </c>
      <c r="W57" s="96">
        <f t="shared" si="8"/>
        <v>1702</v>
      </c>
      <c r="X57" s="89" t="str">
        <f>IFERROR(IF(I57=TRUE,ROUND(U57*H57,2)*(W57-W56),ROUND(U57*H56,2)*(LOOKUP(W56,$B$21:$C$33,$C$21:$C$33)-W56)+ROUND(U57*H57,2)*(W57-LOOKUP(W56,$B$21:$C$33,$C$21:$C$33))),"")</f>
        <v/>
      </c>
      <c r="Y57" s="89" t="str">
        <f>IFERROR(IF(U57&lt;Z56,U57,IF(T57=$D$12,U57,Z57-X57+M57)),"")</f>
        <v/>
      </c>
      <c r="Z57" s="89" t="str">
        <f>IF(U57="","",IF(AND(I57=FALSE,J57="No"),Z56,IF(AND(M56&lt;&gt;0,N56="Yes"),ROUND(-PMT(LOOKUP(W56,'Interest Rates'!$A$5:$A$302,'Interest Rates'!$D$5:$D$302)/12,($D$12-T57+1),U57),0),IF(I57=TRUE,Z56,ROUND(-PMT(VLOOKUP(O57,$A$14:$D$28,4,FALSE)/12,($D$12-T57+1),U57),0)))))</f>
        <v/>
      </c>
      <c r="AA57" s="89" t="str">
        <f t="shared" si="9"/>
        <v/>
      </c>
      <c r="AB57" s="89" t="str">
        <f t="shared" si="10"/>
        <v/>
      </c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104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>
        <v>2245</v>
      </c>
      <c r="BD57" s="105" t="s">
        <v>117</v>
      </c>
    </row>
    <row r="58" spans="1:56" x14ac:dyDescent="0.3">
      <c r="B58" s="89"/>
      <c r="C58" s="89"/>
      <c r="D58" s="89"/>
      <c r="E58" s="89"/>
      <c r="F58" s="89"/>
      <c r="G58" s="87"/>
      <c r="H58" s="93" t="str">
        <f>IFERROR(LOOKUP(W58,$B$21:$C$33,$G$21:$G$33),"")</f>
        <v/>
      </c>
      <c r="I58" s="89" t="str">
        <f t="shared" si="5"/>
        <v/>
      </c>
      <c r="J58" s="24" t="e">
        <f>IF(I58=TRUE,"",LOOKUP(W58,$B$21:$C$33,$E$21:$E$33))</f>
        <v>#N/A</v>
      </c>
      <c r="K58" s="89" t="str">
        <f>IF(H58="","",IFERROR(LOOKUP(W58,$B$37:$C$46,$D$37:$D$46),0))</f>
        <v/>
      </c>
      <c r="L58" s="89" t="str">
        <f>IF(H58="","",COUNT($M$3:M58))</f>
        <v/>
      </c>
      <c r="M58" s="89" t="str">
        <f>IF(H58="","",IF(K58=K57,0,LOOKUP(W58,$B$37:$C$46,$D$37:$D$46)))</f>
        <v/>
      </c>
      <c r="N58" s="24" t="e">
        <f>IF(M58=0,"",VLOOKUP(W58,$B$35:$E$46,4,FALSE))</f>
        <v>#N/A</v>
      </c>
      <c r="O58" s="24" t="str">
        <f>IF(H58="","",IF(I58=TRUE,"",COUNTIF($I$2:I58,FALSE)+1))</f>
        <v/>
      </c>
      <c r="P58" s="89"/>
      <c r="Q58" s="24">
        <v>57</v>
      </c>
      <c r="R58" s="89">
        <f t="shared" si="6"/>
        <v>6</v>
      </c>
      <c r="S58" s="25" t="str">
        <f t="shared" si="0"/>
        <v>Year 6</v>
      </c>
      <c r="T58" s="89" t="str">
        <f>IF(Q58&lt;=$D$12,Q58,"")</f>
        <v/>
      </c>
      <c r="U58" s="89" t="str">
        <f t="shared" si="7"/>
        <v/>
      </c>
      <c r="V58" s="18" t="str">
        <f>IF(T58&lt;=$D$12,"Month "&amp;T58,"")</f>
        <v xml:space="preserve">Month </v>
      </c>
      <c r="W58" s="96">
        <f t="shared" si="8"/>
        <v>1733</v>
      </c>
      <c r="X58" s="89" t="str">
        <f>IFERROR(IF(I58=TRUE,ROUND(U58*H58,2)*(W58-W57),ROUND(U58*H57,2)*(LOOKUP(W57,$B$21:$C$33,$C$21:$C$33)-W57)+ROUND(U58*H58,2)*(W58-LOOKUP(W57,$B$21:$C$33,$C$21:$C$33))),"")</f>
        <v/>
      </c>
      <c r="Y58" s="89" t="str">
        <f>IFERROR(IF(U58&lt;Z57,U58,IF(T58=$D$12,U58,Z58-X58+M58)),"")</f>
        <v/>
      </c>
      <c r="Z58" s="89" t="str">
        <f>IF(U58="","",IF(AND(I58=FALSE,J58="No"),Z57,IF(AND(M57&lt;&gt;0,N57="Yes"),ROUND(-PMT(LOOKUP(W57,'Interest Rates'!$A$5:$A$302,'Interest Rates'!$D$5:$D$302)/12,($D$12-T58+1),U58),0),IF(I58=TRUE,Z57,ROUND(-PMT(VLOOKUP(O58,$A$14:$D$28,4,FALSE)/12,($D$12-T58+1),U58),0)))))</f>
        <v/>
      </c>
      <c r="AA58" s="89" t="str">
        <f t="shared" si="9"/>
        <v/>
      </c>
      <c r="AB58" s="89" t="str">
        <f t="shared" si="10"/>
        <v/>
      </c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104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>
        <v>2254</v>
      </c>
      <c r="BD58" s="105" t="s">
        <v>118</v>
      </c>
    </row>
    <row r="59" spans="1:56" x14ac:dyDescent="0.3">
      <c r="B59" s="89"/>
      <c r="C59" s="89"/>
      <c r="D59" s="89"/>
      <c r="E59" s="89"/>
      <c r="F59" s="89"/>
      <c r="G59" s="87"/>
      <c r="H59" s="93" t="str">
        <f>IFERROR(LOOKUP(W59,$B$21:$C$33,$G$21:$G$33),"")</f>
        <v/>
      </c>
      <c r="I59" s="89" t="str">
        <f t="shared" si="5"/>
        <v/>
      </c>
      <c r="J59" s="24" t="e">
        <f>IF(I59=TRUE,"",LOOKUP(W59,$B$21:$C$33,$E$21:$E$33))</f>
        <v>#N/A</v>
      </c>
      <c r="K59" s="89" t="str">
        <f>IF(H59="","",IFERROR(LOOKUP(W59,$B$37:$C$46,$D$37:$D$46),0))</f>
        <v/>
      </c>
      <c r="L59" s="89" t="str">
        <f>IF(H59="","",COUNT($M$3:M59))</f>
        <v/>
      </c>
      <c r="M59" s="89" t="str">
        <f>IF(H59="","",IF(K59=K58,0,LOOKUP(W59,$B$37:$C$46,$D$37:$D$46)))</f>
        <v/>
      </c>
      <c r="N59" s="24" t="e">
        <f>IF(M59=0,"",VLOOKUP(W59,$B$35:$E$46,4,FALSE))</f>
        <v>#N/A</v>
      </c>
      <c r="O59" s="24" t="str">
        <f>IF(H59="","",IF(I59=TRUE,"",COUNTIF($I$2:I59,FALSE)+1))</f>
        <v/>
      </c>
      <c r="P59" s="89"/>
      <c r="Q59" s="87">
        <v>58</v>
      </c>
      <c r="R59" s="89">
        <f t="shared" si="6"/>
        <v>6</v>
      </c>
      <c r="S59" s="25" t="str">
        <f t="shared" si="0"/>
        <v>Year 6</v>
      </c>
      <c r="T59" s="89" t="str">
        <f>IF(Q59&lt;=$D$12,Q59,"")</f>
        <v/>
      </c>
      <c r="U59" s="89" t="str">
        <f t="shared" si="7"/>
        <v/>
      </c>
      <c r="V59" s="18" t="str">
        <f>IF(T59&lt;=$D$12,"Month "&amp;T59,"")</f>
        <v xml:space="preserve">Month </v>
      </c>
      <c r="W59" s="96">
        <f t="shared" si="8"/>
        <v>1763</v>
      </c>
      <c r="X59" s="89" t="str">
        <f>IFERROR(IF(I59=TRUE,ROUND(U59*H59,2)*(W59-W58),ROUND(U59*H58,2)*(LOOKUP(W58,$B$21:$C$33,$C$21:$C$33)-W58)+ROUND(U59*H59,2)*(W59-LOOKUP(W58,$B$21:$C$33,$C$21:$C$33))),"")</f>
        <v/>
      </c>
      <c r="Y59" s="89" t="str">
        <f>IFERROR(IF(U59&lt;Z58,U59,IF(T59=$D$12,U59,Z59-X59+M59)),"")</f>
        <v/>
      </c>
      <c r="Z59" s="89" t="str">
        <f>IF(U59="","",IF(AND(I59=FALSE,J59="No"),Z58,IF(AND(M58&lt;&gt;0,N58="Yes"),ROUND(-PMT(LOOKUP(W58,'Interest Rates'!$A$5:$A$302,'Interest Rates'!$D$5:$D$302)/12,($D$12-T59+1),U59),0),IF(I59=TRUE,Z58,ROUND(-PMT(VLOOKUP(O59,$A$14:$D$28,4,FALSE)/12,($D$12-T59+1),U59),0)))))</f>
        <v/>
      </c>
      <c r="AA59" s="89" t="str">
        <f t="shared" si="9"/>
        <v/>
      </c>
      <c r="AB59" s="89" t="str">
        <f t="shared" si="10"/>
        <v/>
      </c>
      <c r="AC59" s="89"/>
      <c r="AD59" s="104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104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>
        <v>2258</v>
      </c>
      <c r="BD59" s="105" t="s">
        <v>119</v>
      </c>
    </row>
    <row r="60" spans="1:56" x14ac:dyDescent="0.3">
      <c r="B60" s="89"/>
      <c r="C60" s="89"/>
      <c r="D60" s="89"/>
      <c r="E60" s="89"/>
      <c r="F60" s="89"/>
      <c r="G60" s="87"/>
      <c r="H60" s="93" t="str">
        <f>IFERROR(LOOKUP(W60,$B$21:$C$33,$G$21:$G$33),"")</f>
        <v/>
      </c>
      <c r="I60" s="89" t="str">
        <f t="shared" si="5"/>
        <v/>
      </c>
      <c r="J60" s="24" t="e">
        <f>IF(I60=TRUE,"",LOOKUP(W60,$B$21:$C$33,$E$21:$E$33))</f>
        <v>#N/A</v>
      </c>
      <c r="K60" s="89" t="str">
        <f>IF(H60="","",IFERROR(LOOKUP(W60,$B$37:$C$46,$D$37:$D$46),0))</f>
        <v/>
      </c>
      <c r="L60" s="89" t="str">
        <f>IF(H60="","",COUNT($M$3:M60))</f>
        <v/>
      </c>
      <c r="M60" s="89" t="str">
        <f>IF(H60="","",IF(K60=K59,0,LOOKUP(W60,$B$37:$C$46,$D$37:$D$46)))</f>
        <v/>
      </c>
      <c r="N60" s="24" t="e">
        <f>IF(M60=0,"",VLOOKUP(W60,$B$35:$E$46,4,FALSE))</f>
        <v>#N/A</v>
      </c>
      <c r="O60" s="24" t="str">
        <f>IF(H60="","",IF(I60=TRUE,"",COUNTIF($I$2:I60,FALSE)+1))</f>
        <v/>
      </c>
      <c r="P60" s="89"/>
      <c r="Q60" s="24">
        <v>59</v>
      </c>
      <c r="R60" s="89">
        <f t="shared" si="6"/>
        <v>6</v>
      </c>
      <c r="S60" s="25" t="str">
        <f t="shared" si="0"/>
        <v>Year 6</v>
      </c>
      <c r="T60" s="89" t="str">
        <f>IF(Q60&lt;=$D$12,Q60,"")</f>
        <v/>
      </c>
      <c r="U60" s="89" t="str">
        <f t="shared" si="7"/>
        <v/>
      </c>
      <c r="V60" s="18" t="str">
        <f>IF(T60&lt;=$D$12,"Month "&amp;T60,"")</f>
        <v xml:space="preserve">Month </v>
      </c>
      <c r="W60" s="96">
        <f t="shared" si="8"/>
        <v>1794</v>
      </c>
      <c r="X60" s="89" t="str">
        <f>IFERROR(IF(I60=TRUE,ROUND(U60*H60,2)*(W60-W59),ROUND(U60*H59,2)*(LOOKUP(W59,$B$21:$C$33,$C$21:$C$33)-W59)+ROUND(U60*H60,2)*(W60-LOOKUP(W59,$B$21:$C$33,$C$21:$C$33))),"")</f>
        <v/>
      </c>
      <c r="Y60" s="89" t="str">
        <f>IFERROR(IF(U60&lt;Z59,U60,IF(T60=$D$12,U60,Z60-X60+M60)),"")</f>
        <v/>
      </c>
      <c r="Z60" s="89" t="str">
        <f>IF(U60="","",IF(AND(I60=FALSE,J60="No"),Z59,IF(AND(M59&lt;&gt;0,N59="Yes"),ROUND(-PMT(LOOKUP(W59,'Interest Rates'!$A$5:$A$302,'Interest Rates'!$D$5:$D$302)/12,($D$12-T60+1),U60),0),IF(I60=TRUE,Z59,ROUND(-PMT(VLOOKUP(O60,$A$14:$D$28,4,FALSE)/12,($D$12-T60+1),U60),0)))))</f>
        <v/>
      </c>
      <c r="AA60" s="89" t="str">
        <f t="shared" si="9"/>
        <v/>
      </c>
      <c r="AB60" s="89" t="str">
        <f t="shared" si="10"/>
        <v/>
      </c>
      <c r="AC60" s="89"/>
      <c r="AD60" s="104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104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>
        <v>2263</v>
      </c>
      <c r="BD60" s="105" t="s">
        <v>120</v>
      </c>
    </row>
    <row r="61" spans="1:56" x14ac:dyDescent="0.3">
      <c r="B61" s="89"/>
      <c r="C61" s="89"/>
      <c r="D61" s="89"/>
      <c r="E61" s="89"/>
      <c r="F61" s="89"/>
      <c r="G61" s="87"/>
      <c r="H61" s="93" t="str">
        <f>IFERROR(LOOKUP(W61,$B$21:$C$33,$G$21:$G$33),"")</f>
        <v/>
      </c>
      <c r="I61" s="89" t="str">
        <f t="shared" si="5"/>
        <v/>
      </c>
      <c r="J61" s="24" t="e">
        <f>IF(I61=TRUE,"",LOOKUP(W61,$B$21:$C$33,$E$21:$E$33))</f>
        <v>#N/A</v>
      </c>
      <c r="K61" s="89" t="str">
        <f>IF(H61="","",IFERROR(LOOKUP(W61,$B$37:$C$46,$D$37:$D$46),0))</f>
        <v/>
      </c>
      <c r="L61" s="89" t="str">
        <f>IF(H61="","",COUNT($M$3:M61))</f>
        <v/>
      </c>
      <c r="M61" s="89" t="str">
        <f>IF(H61="","",IF(K61=K60,0,LOOKUP(W61,$B$37:$C$46,$D$37:$D$46)))</f>
        <v/>
      </c>
      <c r="N61" s="24" t="e">
        <f>IF(M61=0,"",VLOOKUP(W61,$B$35:$E$46,4,FALSE))</f>
        <v>#N/A</v>
      </c>
      <c r="O61" s="24" t="str">
        <f>IF(H61="","",IF(I61=TRUE,"",COUNTIF($I$2:I61,FALSE)+1))</f>
        <v/>
      </c>
      <c r="P61" s="89"/>
      <c r="Q61" s="87">
        <v>60</v>
      </c>
      <c r="R61" s="89">
        <f t="shared" si="6"/>
        <v>6</v>
      </c>
      <c r="S61" s="25" t="str">
        <f t="shared" si="0"/>
        <v>Year 6</v>
      </c>
      <c r="T61" s="89" t="str">
        <f>IF(Q61&lt;=$D$12,Q61,"")</f>
        <v/>
      </c>
      <c r="U61" s="89" t="str">
        <f t="shared" si="7"/>
        <v/>
      </c>
      <c r="V61" s="18" t="str">
        <f>IF(T61&lt;=$D$12,"Month "&amp;T61,"")</f>
        <v xml:space="preserve">Month </v>
      </c>
      <c r="W61" s="96">
        <f t="shared" si="8"/>
        <v>1824</v>
      </c>
      <c r="X61" s="89" t="str">
        <f>IFERROR(IF(I61=TRUE,ROUND(U61*H61,2)*(W61-W60),ROUND(U61*H60,2)*(LOOKUP(W60,$B$21:$C$33,$C$21:$C$33)-W60)+ROUND(U61*H61,2)*(W61-LOOKUP(W60,$B$21:$C$33,$C$21:$C$33))),"")</f>
        <v/>
      </c>
      <c r="Y61" s="89" t="str">
        <f>IFERROR(IF(U61&lt;Z60,U61,IF(T61=$D$12,U61,Z61-X61+M61)),"")</f>
        <v/>
      </c>
      <c r="Z61" s="89" t="str">
        <f>IF(U61="","",IF(AND(I61=FALSE,J61="No"),Z60,IF(AND(M60&lt;&gt;0,N60="Yes"),ROUND(-PMT(LOOKUP(W60,'Interest Rates'!$A$5:$A$302,'Interest Rates'!$D$5:$D$302)/12,($D$12-T61+1),U61),0),IF(I61=TRUE,Z60,ROUND(-PMT(VLOOKUP(O61,$A$14:$D$28,4,FALSE)/12,($D$12-T61+1),U61),0)))))</f>
        <v/>
      </c>
      <c r="AA61" s="89" t="str">
        <f t="shared" si="9"/>
        <v/>
      </c>
      <c r="AB61" s="89" t="str">
        <f t="shared" si="10"/>
        <v/>
      </c>
      <c r="AC61" s="89"/>
      <c r="AD61" s="104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104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>
        <v>2265</v>
      </c>
      <c r="BD61" s="105" t="s">
        <v>121</v>
      </c>
    </row>
    <row r="62" spans="1:56" x14ac:dyDescent="0.3">
      <c r="B62" s="89"/>
      <c r="C62" s="89"/>
      <c r="D62" s="89"/>
      <c r="E62" s="89"/>
      <c r="F62" s="89"/>
      <c r="G62" s="87"/>
      <c r="H62" s="93" t="str">
        <f>IFERROR(LOOKUP(W62,$B$21:$C$33,$G$21:$G$33),"")</f>
        <v/>
      </c>
      <c r="I62" s="89" t="str">
        <f t="shared" si="5"/>
        <v/>
      </c>
      <c r="J62" s="24" t="e">
        <f>IF(I62=TRUE,"",LOOKUP(W62,$B$21:$C$33,$E$21:$E$33))</f>
        <v>#N/A</v>
      </c>
      <c r="K62" s="89" t="str">
        <f>IF(H62="","",IFERROR(LOOKUP(W62,$B$37:$C$46,$D$37:$D$46),0))</f>
        <v/>
      </c>
      <c r="L62" s="89" t="str">
        <f>IF(H62="","",COUNT($M$3:M62))</f>
        <v/>
      </c>
      <c r="M62" s="89" t="str">
        <f>IF(H62="","",IF(K62=K61,0,LOOKUP(W62,$B$37:$C$46,$D$37:$D$46)))</f>
        <v/>
      </c>
      <c r="N62" s="24" t="e">
        <f>IF(M62=0,"",VLOOKUP(W62,$B$35:$E$46,4,FALSE))</f>
        <v>#N/A</v>
      </c>
      <c r="O62" s="24" t="str">
        <f>IF(H62="","",IF(I62=TRUE,"",COUNTIF($I$2:I62,FALSE)+1))</f>
        <v/>
      </c>
      <c r="P62" s="89"/>
      <c r="Q62" s="24">
        <v>61</v>
      </c>
      <c r="R62" s="89">
        <f t="shared" si="6"/>
        <v>6</v>
      </c>
      <c r="S62" s="25" t="str">
        <f t="shared" si="0"/>
        <v>Year 6</v>
      </c>
      <c r="T62" s="89" t="str">
        <f>IF(Q62&lt;=$D$12,Q62,"")</f>
        <v/>
      </c>
      <c r="U62" s="89" t="str">
        <f t="shared" si="7"/>
        <v/>
      </c>
      <c r="V62" s="18" t="str">
        <f>IF(T62&lt;=$D$12,"Month "&amp;T62,"")</f>
        <v xml:space="preserve">Month </v>
      </c>
      <c r="W62" s="96">
        <f t="shared" si="8"/>
        <v>1855</v>
      </c>
      <c r="X62" s="89" t="str">
        <f>IFERROR(IF(I62=TRUE,ROUND(U62*H62,2)*(W62-W61),ROUND(U62*H61,2)*(LOOKUP(W61,$B$21:$C$33,$C$21:$C$33)-W61)+ROUND(U62*H62,2)*(W62-LOOKUP(W61,$B$21:$C$33,$C$21:$C$33))),"")</f>
        <v/>
      </c>
      <c r="Y62" s="89" t="str">
        <f>IFERROR(IF(U62&lt;Z61,U62,IF(T62=$D$12,U62,Z62-X62+M62)),"")</f>
        <v/>
      </c>
      <c r="Z62" s="89" t="str">
        <f>IF(U62="","",IF(AND(I62=FALSE,J62="No"),Z61,IF(AND(M61&lt;&gt;0,N61="Yes"),ROUND(-PMT(LOOKUP(W61,'Interest Rates'!$A$5:$A$302,'Interest Rates'!$D$5:$D$302)/12,($D$12-T62+1),U62),0),IF(I62=TRUE,Z61,ROUND(-PMT(VLOOKUP(O62,$A$14:$D$28,4,FALSE)/12,($D$12-T62+1),U62),0)))))</f>
        <v/>
      </c>
      <c r="AA62" s="89" t="str">
        <f t="shared" si="9"/>
        <v/>
      </c>
      <c r="AB62" s="89" t="str">
        <f t="shared" si="10"/>
        <v/>
      </c>
      <c r="AC62" s="89"/>
      <c r="AD62" s="104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104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>
        <v>2268</v>
      </c>
      <c r="BD62" s="105" t="s">
        <v>122</v>
      </c>
    </row>
    <row r="63" spans="1:56" x14ac:dyDescent="0.3">
      <c r="B63" s="89"/>
      <c r="C63" s="89"/>
      <c r="D63" s="89"/>
      <c r="E63" s="89"/>
      <c r="F63" s="89"/>
      <c r="G63" s="87"/>
      <c r="H63" s="93" t="str">
        <f>IFERROR(LOOKUP(W63,$B$21:$C$33,$G$21:$G$33),"")</f>
        <v/>
      </c>
      <c r="I63" s="89" t="str">
        <f t="shared" si="5"/>
        <v/>
      </c>
      <c r="J63" s="24" t="e">
        <f>IF(I63=TRUE,"",LOOKUP(W63,$B$21:$C$33,$E$21:$E$33))</f>
        <v>#N/A</v>
      </c>
      <c r="K63" s="89" t="str">
        <f>IF(H63="","",IFERROR(LOOKUP(W63,$B$37:$C$46,$D$37:$D$46),0))</f>
        <v/>
      </c>
      <c r="L63" s="89" t="str">
        <f>IF(H63="","",COUNT($M$3:M63))</f>
        <v/>
      </c>
      <c r="M63" s="89" t="str">
        <f>IF(H63="","",IF(K63=K62,0,LOOKUP(W63,$B$37:$C$46,$D$37:$D$46)))</f>
        <v/>
      </c>
      <c r="N63" s="24" t="e">
        <f>IF(M63=0,"",VLOOKUP(W63,$B$35:$E$46,4,FALSE))</f>
        <v>#N/A</v>
      </c>
      <c r="O63" s="24" t="str">
        <f>IF(H63="","",IF(I63=TRUE,"",COUNTIF($I$2:I63,FALSE)+1))</f>
        <v/>
      </c>
      <c r="P63" s="89"/>
      <c r="Q63" s="87">
        <v>62</v>
      </c>
      <c r="R63" s="89">
        <f t="shared" si="6"/>
        <v>6</v>
      </c>
      <c r="S63" s="25" t="str">
        <f t="shared" si="0"/>
        <v>Year 6</v>
      </c>
      <c r="T63" s="89" t="str">
        <f>IF(Q63&lt;=$D$12,Q63,"")</f>
        <v/>
      </c>
      <c r="U63" s="89" t="str">
        <f t="shared" si="7"/>
        <v/>
      </c>
      <c r="V63" s="18" t="str">
        <f>IF(T63&lt;=$D$12,"Month "&amp;T63,"")</f>
        <v xml:space="preserve">Month </v>
      </c>
      <c r="W63" s="96">
        <f t="shared" si="8"/>
        <v>1886</v>
      </c>
      <c r="X63" s="89" t="str">
        <f>IFERROR(IF(I63=TRUE,ROUND(U63*H63,2)*(W63-W62),ROUND(U63*H62,2)*(LOOKUP(W62,$B$21:$C$33,$C$21:$C$33)-W62)+ROUND(U63*H63,2)*(W63-LOOKUP(W62,$B$21:$C$33,$C$21:$C$33))),"")</f>
        <v/>
      </c>
      <c r="Y63" s="89" t="str">
        <f>IFERROR(IF(U63&lt;Z62,U63,IF(T63=$D$12,U63,Z63-X63+M63)),"")</f>
        <v/>
      </c>
      <c r="Z63" s="89" t="str">
        <f>IF(U63="","",IF(AND(I63=FALSE,J63="No"),Z62,IF(AND(M62&lt;&gt;0,N62="Yes"),ROUND(-PMT(LOOKUP(W62,'Interest Rates'!$A$5:$A$302,'Interest Rates'!$D$5:$D$302)/12,($D$12-T63+1),U63),0),IF(I63=TRUE,Z62,ROUND(-PMT(VLOOKUP(O63,$A$14:$D$28,4,FALSE)/12,($D$12-T63+1),U63),0)))))</f>
        <v/>
      </c>
      <c r="AA63" s="89" t="str">
        <f t="shared" si="9"/>
        <v/>
      </c>
      <c r="AB63" s="89" t="str">
        <f t="shared" si="10"/>
        <v/>
      </c>
      <c r="AC63" s="89"/>
      <c r="AD63" s="104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104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>
        <v>2269</v>
      </c>
      <c r="BD63" s="105" t="s">
        <v>123</v>
      </c>
    </row>
    <row r="64" spans="1:56" x14ac:dyDescent="0.3">
      <c r="B64" s="89"/>
      <c r="C64" s="89"/>
      <c r="D64" s="89"/>
      <c r="E64" s="89"/>
      <c r="F64" s="89"/>
      <c r="G64" s="87"/>
      <c r="H64" s="93" t="str">
        <f>IFERROR(LOOKUP(W64,$B$21:$C$33,$G$21:$G$33),"")</f>
        <v/>
      </c>
      <c r="I64" s="89" t="str">
        <f t="shared" si="5"/>
        <v/>
      </c>
      <c r="J64" s="24" t="e">
        <f>IF(I64=TRUE,"",LOOKUP(W64,$B$21:$C$33,$E$21:$E$33))</f>
        <v>#N/A</v>
      </c>
      <c r="K64" s="89" t="str">
        <f>IF(H64="","",IFERROR(LOOKUP(W64,$B$37:$C$46,$D$37:$D$46),0))</f>
        <v/>
      </c>
      <c r="L64" s="89" t="str">
        <f>IF(H64="","",COUNT($M$3:M64))</f>
        <v/>
      </c>
      <c r="M64" s="89" t="str">
        <f>IF(H64="","",IF(K64=K63,0,LOOKUP(W64,$B$37:$C$46,$D$37:$D$46)))</f>
        <v/>
      </c>
      <c r="N64" s="24" t="e">
        <f>IF(M64=0,"",VLOOKUP(W64,$B$35:$E$46,4,FALSE))</f>
        <v>#N/A</v>
      </c>
      <c r="O64" s="24" t="str">
        <f>IF(H64="","",IF(I64=TRUE,"",COUNTIF($I$2:I64,FALSE)+1))</f>
        <v/>
      </c>
      <c r="P64" s="89"/>
      <c r="Q64" s="24">
        <v>63</v>
      </c>
      <c r="R64" s="89">
        <f t="shared" si="6"/>
        <v>6</v>
      </c>
      <c r="S64" s="25" t="str">
        <f t="shared" si="0"/>
        <v>Year 6</v>
      </c>
      <c r="T64" s="89" t="str">
        <f>IF(Q64&lt;=$D$12,Q64,"")</f>
        <v/>
      </c>
      <c r="U64" s="89" t="str">
        <f t="shared" si="7"/>
        <v/>
      </c>
      <c r="V64" s="18" t="str">
        <f>IF(T64&lt;=$D$12,"Month "&amp;T64,"")</f>
        <v xml:space="preserve">Month </v>
      </c>
      <c r="W64" s="96">
        <f t="shared" si="8"/>
        <v>1914</v>
      </c>
      <c r="X64" s="89" t="str">
        <f>IFERROR(IF(I64=TRUE,ROUND(U64*H64,2)*(W64-W63),ROUND(U64*H63,2)*(LOOKUP(W63,$B$21:$C$33,$C$21:$C$33)-W63)+ROUND(U64*H64,2)*(W64-LOOKUP(W63,$B$21:$C$33,$C$21:$C$33))),"")</f>
        <v/>
      </c>
      <c r="Y64" s="89" t="str">
        <f>IFERROR(IF(U64&lt;Z63,U64,IF(T64=$D$12,U64,Z64-X64+M64)),"")</f>
        <v/>
      </c>
      <c r="Z64" s="89" t="str">
        <f>IF(U64="","",IF(AND(I64=FALSE,J64="No"),Z63,IF(AND(M63&lt;&gt;0,N63="Yes"),ROUND(-PMT(LOOKUP(W63,'Interest Rates'!$A$5:$A$302,'Interest Rates'!$D$5:$D$302)/12,($D$12-T64+1),U64),0),IF(I64=TRUE,Z63,ROUND(-PMT(VLOOKUP(O64,$A$14:$D$28,4,FALSE)/12,($D$12-T64+1),U64),0)))))</f>
        <v/>
      </c>
      <c r="AA64" s="89" t="str">
        <f t="shared" si="9"/>
        <v/>
      </c>
      <c r="AB64" s="89" t="str">
        <f t="shared" si="10"/>
        <v/>
      </c>
      <c r="AC64" s="89"/>
      <c r="AD64" s="9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104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>
        <v>2270</v>
      </c>
      <c r="BD64" s="105" t="s">
        <v>124</v>
      </c>
    </row>
    <row r="65" spans="2:56" x14ac:dyDescent="0.3">
      <c r="B65" s="89"/>
      <c r="C65" s="89"/>
      <c r="D65" s="89"/>
      <c r="E65" s="89"/>
      <c r="F65" s="89"/>
      <c r="G65" s="87"/>
      <c r="H65" s="93" t="str">
        <f>IFERROR(LOOKUP(W65,$B$21:$C$33,$G$21:$G$33),"")</f>
        <v/>
      </c>
      <c r="I65" s="89" t="str">
        <f t="shared" si="5"/>
        <v/>
      </c>
      <c r="J65" s="24" t="e">
        <f>IF(I65=TRUE,"",LOOKUP(W65,$B$21:$C$33,$E$21:$E$33))</f>
        <v>#N/A</v>
      </c>
      <c r="K65" s="89" t="str">
        <f>IF(H65="","",IFERROR(LOOKUP(W65,$B$37:$C$46,$D$37:$D$46),0))</f>
        <v/>
      </c>
      <c r="L65" s="89" t="str">
        <f>IF(H65="","",COUNT($M$3:M65))</f>
        <v/>
      </c>
      <c r="M65" s="89" t="str">
        <f>IF(H65="","",IF(K65=K64,0,LOOKUP(W65,$B$37:$C$46,$D$37:$D$46)))</f>
        <v/>
      </c>
      <c r="N65" s="24" t="e">
        <f>IF(M65=0,"",VLOOKUP(W65,$B$35:$E$46,4,FALSE))</f>
        <v>#N/A</v>
      </c>
      <c r="O65" s="24" t="str">
        <f>IF(H65="","",IF(I65=TRUE,"",COUNTIF($I$2:I65,FALSE)+1))</f>
        <v/>
      </c>
      <c r="P65" s="89"/>
      <c r="Q65" s="87">
        <v>64</v>
      </c>
      <c r="R65" s="89">
        <f t="shared" si="6"/>
        <v>7</v>
      </c>
      <c r="S65" s="25" t="str">
        <f t="shared" si="0"/>
        <v>Year 7</v>
      </c>
      <c r="T65" s="89" t="str">
        <f>IF(Q65&lt;=$D$12,Q65,"")</f>
        <v/>
      </c>
      <c r="U65" s="89" t="str">
        <f t="shared" si="7"/>
        <v/>
      </c>
      <c r="V65" s="18" t="str">
        <f>IF(T65&lt;=$D$12,"Month "&amp;T65,"")</f>
        <v xml:space="preserve">Month </v>
      </c>
      <c r="W65" s="96">
        <f t="shared" si="8"/>
        <v>1945</v>
      </c>
      <c r="X65" s="89" t="str">
        <f>IFERROR(IF(I65=TRUE,ROUND(U65*H65,2)*(W65-W64),ROUND(U65*H64,2)*(LOOKUP(W64,$B$21:$C$33,$C$21:$C$33)-W64)+ROUND(U65*H65,2)*(W65-LOOKUP(W64,$B$21:$C$33,$C$21:$C$33))),"")</f>
        <v/>
      </c>
      <c r="Y65" s="89" t="str">
        <f>IFERROR(IF(U65&lt;Z64,U65,IF(T65=$D$12,U65,Z65-X65+M65)),"")</f>
        <v/>
      </c>
      <c r="Z65" s="89" t="str">
        <f>IF(U65="","",IF(AND(I65=FALSE,J65="No"),Z64,IF(AND(M64&lt;&gt;0,N64="Yes"),ROUND(-PMT(LOOKUP(W64,'Interest Rates'!$A$5:$A$302,'Interest Rates'!$D$5:$D$302)/12,($D$12-T65+1),U65),0),IF(I65=TRUE,Z64,ROUND(-PMT(VLOOKUP(O65,$A$14:$D$28,4,FALSE)/12,($D$12-T65+1),U65),0)))))</f>
        <v/>
      </c>
      <c r="AA65" s="89" t="str">
        <f t="shared" si="9"/>
        <v/>
      </c>
      <c r="AB65" s="89" t="str">
        <f t="shared" si="10"/>
        <v/>
      </c>
      <c r="AC65" s="89"/>
      <c r="AD65" s="9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104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>
        <v>2272</v>
      </c>
      <c r="BD65" s="105" t="s">
        <v>125</v>
      </c>
    </row>
    <row r="66" spans="2:56" x14ac:dyDescent="0.3">
      <c r="B66" s="89"/>
      <c r="C66" s="89"/>
      <c r="D66" s="89"/>
      <c r="E66" s="89"/>
      <c r="F66" s="89"/>
      <c r="G66" s="87"/>
      <c r="H66" s="93" t="str">
        <f>IFERROR(LOOKUP(W66,$B$21:$C$33,$G$21:$G$33),"")</f>
        <v/>
      </c>
      <c r="I66" s="89" t="str">
        <f t="shared" si="5"/>
        <v/>
      </c>
      <c r="J66" s="24" t="e">
        <f>IF(I66=TRUE,"",LOOKUP(W66,$B$21:$C$33,$E$21:$E$33))</f>
        <v>#N/A</v>
      </c>
      <c r="K66" s="89" t="str">
        <f>IF(H66="","",IFERROR(LOOKUP(W66,$B$37:$C$46,$D$37:$D$46),0))</f>
        <v/>
      </c>
      <c r="L66" s="89" t="str">
        <f>IF(H66="","",COUNT($M$3:M66))</f>
        <v/>
      </c>
      <c r="M66" s="89" t="str">
        <f>IF(H66="","",IF(K66=K65,0,LOOKUP(W66,$B$37:$C$46,$D$37:$D$46)))</f>
        <v/>
      </c>
      <c r="N66" s="24" t="e">
        <f>IF(M66=0,"",VLOOKUP(W66,$B$35:$E$46,4,FALSE))</f>
        <v>#N/A</v>
      </c>
      <c r="O66" s="24" t="str">
        <f>IF(H66="","",IF(I66=TRUE,"",COUNTIF($I$2:I66,FALSE)+1))</f>
        <v/>
      </c>
      <c r="P66" s="89"/>
      <c r="Q66" s="24">
        <v>65</v>
      </c>
      <c r="R66" s="89">
        <f t="shared" si="6"/>
        <v>7</v>
      </c>
      <c r="S66" s="25" t="str">
        <f t="shared" si="0"/>
        <v>Year 7</v>
      </c>
      <c r="T66" s="89" t="str">
        <f>IF(Q66&lt;=$D$12,Q66,"")</f>
        <v/>
      </c>
      <c r="U66" s="89" t="str">
        <f t="shared" si="7"/>
        <v/>
      </c>
      <c r="V66" s="18" t="str">
        <f>IF(T66&lt;=$D$12,"Month "&amp;T66,"")</f>
        <v xml:space="preserve">Month </v>
      </c>
      <c r="W66" s="96">
        <f t="shared" si="8"/>
        <v>1975</v>
      </c>
      <c r="X66" s="89" t="str">
        <f>IFERROR(IF(I66=TRUE,ROUND(U66*H66,2)*(W66-W65),ROUND(U66*H65,2)*(LOOKUP(W65,$B$21:$C$33,$C$21:$C$33)-W65)+ROUND(U66*H66,2)*(W66-LOOKUP(W65,$B$21:$C$33,$C$21:$C$33))),"")</f>
        <v/>
      </c>
      <c r="Y66" s="89" t="str">
        <f>IFERROR(IF(U66&lt;Z65,U66,IF(T66=$D$12,U66,Z66-X66+M66)),"")</f>
        <v/>
      </c>
      <c r="Z66" s="89" t="str">
        <f>IF(U66="","",IF(AND(I66=FALSE,J66="No"),Z65,IF(AND(M65&lt;&gt;0,N65="Yes"),ROUND(-PMT(LOOKUP(W65,'Interest Rates'!$A$5:$A$302,'Interest Rates'!$D$5:$D$302)/12,($D$12-T66+1),U66),0),IF(I66=TRUE,Z65,ROUND(-PMT(VLOOKUP(O66,$A$14:$D$28,4,FALSE)/12,($D$12-T66+1),U66),0)))))</f>
        <v/>
      </c>
      <c r="AA66" s="89" t="str">
        <f t="shared" si="9"/>
        <v/>
      </c>
      <c r="AB66" s="89" t="str">
        <f t="shared" si="10"/>
        <v/>
      </c>
      <c r="AC66" s="89"/>
      <c r="AD66" s="9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104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>
        <v>2275</v>
      </c>
      <c r="BD66" s="105" t="s">
        <v>126</v>
      </c>
    </row>
    <row r="67" spans="2:56" x14ac:dyDescent="0.3">
      <c r="B67" s="89"/>
      <c r="C67" s="89"/>
      <c r="D67" s="89"/>
      <c r="E67" s="89"/>
      <c r="F67" s="89"/>
      <c r="G67" s="87"/>
      <c r="H67" s="93" t="str">
        <f>IFERROR(LOOKUP(W67,$B$21:$C$33,$G$21:$G$33),"")</f>
        <v/>
      </c>
      <c r="I67" s="89" t="str">
        <f t="shared" si="5"/>
        <v/>
      </c>
      <c r="J67" s="24" t="e">
        <f>IF(I67=TRUE,"",LOOKUP(W67,$B$21:$C$33,$E$21:$E$33))</f>
        <v>#N/A</v>
      </c>
      <c r="K67" s="89" t="str">
        <f>IF(H67="","",IFERROR(LOOKUP(W67,$B$37:$C$46,$D$37:$D$46),0))</f>
        <v/>
      </c>
      <c r="L67" s="89" t="str">
        <f>IF(H67="","",COUNT($M$3:M67))</f>
        <v/>
      </c>
      <c r="M67" s="89" t="str">
        <f>IF(H67="","",IF(K67=K66,0,LOOKUP(W67,$B$37:$C$46,$D$37:$D$46)))</f>
        <v/>
      </c>
      <c r="N67" s="24" t="e">
        <f>IF(M67=0,"",VLOOKUP(W67,$B$35:$E$46,4,FALSE))</f>
        <v>#N/A</v>
      </c>
      <c r="O67" s="24" t="str">
        <f>IF(H67="","",IF(I67=TRUE,"",COUNTIF($I$2:I67,FALSE)+1))</f>
        <v/>
      </c>
      <c r="P67" s="89"/>
      <c r="Q67" s="87">
        <v>66</v>
      </c>
      <c r="R67" s="89">
        <f t="shared" si="6"/>
        <v>7</v>
      </c>
      <c r="S67" s="25" t="str">
        <f t="shared" ref="S67:S130" si="25">"Year "&amp;R67</f>
        <v>Year 7</v>
      </c>
      <c r="T67" s="89" t="str">
        <f>IF(Q67&lt;=$D$12,Q67,"")</f>
        <v/>
      </c>
      <c r="U67" s="89" t="str">
        <f t="shared" si="7"/>
        <v/>
      </c>
      <c r="V67" s="18" t="str">
        <f>IF(T67&lt;=$D$12,"Month "&amp;T67,"")</f>
        <v xml:space="preserve">Month </v>
      </c>
      <c r="W67" s="96">
        <f t="shared" si="8"/>
        <v>2006</v>
      </c>
      <c r="X67" s="89" t="str">
        <f>IFERROR(IF(I67=TRUE,ROUND(U67*H67,2)*(W67-W66),ROUND(U67*H66,2)*(LOOKUP(W66,$B$21:$C$33,$C$21:$C$33)-W66)+ROUND(U67*H67,2)*(W67-LOOKUP(W66,$B$21:$C$33,$C$21:$C$33))),"")</f>
        <v/>
      </c>
      <c r="Y67" s="89" t="str">
        <f>IFERROR(IF(U67&lt;Z66,U67,IF(T67=$D$12,U67,Z67-X67+M67)),"")</f>
        <v/>
      </c>
      <c r="Z67" s="89" t="str">
        <f>IF(U67="","",IF(AND(I67=FALSE,J67="No"),Z66,IF(AND(M66&lt;&gt;0,N66="Yes"),ROUND(-PMT(LOOKUP(W66,'Interest Rates'!$A$5:$A$302,'Interest Rates'!$D$5:$D$302)/12,($D$12-T67+1),U67),0),IF(I67=TRUE,Z66,ROUND(-PMT(VLOOKUP(O67,$A$14:$D$28,4,FALSE)/12,($D$12-T67+1),U67),0)))))</f>
        <v/>
      </c>
      <c r="AA67" s="89" t="str">
        <f t="shared" si="9"/>
        <v/>
      </c>
      <c r="AB67" s="89" t="str">
        <f t="shared" si="10"/>
        <v/>
      </c>
      <c r="AC67" s="89"/>
      <c r="AD67" s="9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104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>
        <v>2276</v>
      </c>
      <c r="BD67" s="105" t="s">
        <v>127</v>
      </c>
    </row>
    <row r="68" spans="2:56" x14ac:dyDescent="0.3">
      <c r="B68" s="89"/>
      <c r="C68" s="89"/>
      <c r="D68" s="89"/>
      <c r="E68" s="89"/>
      <c r="F68" s="89"/>
      <c r="G68" s="87"/>
      <c r="H68" s="93" t="str">
        <f>IFERROR(LOOKUP(W68,$B$21:$C$33,$G$21:$G$33),"")</f>
        <v/>
      </c>
      <c r="I68" s="89" t="str">
        <f t="shared" ref="I68:I131" si="26">IF(H68="","",H68=H67)</f>
        <v/>
      </c>
      <c r="J68" s="24" t="e">
        <f>IF(I68=TRUE,"",LOOKUP(W68,$B$21:$C$33,$E$21:$E$33))</f>
        <v>#N/A</v>
      </c>
      <c r="K68" s="89" t="str">
        <f>IF(H68="","",IFERROR(LOOKUP(W68,$B$37:$C$46,$D$37:$D$46),0))</f>
        <v/>
      </c>
      <c r="L68" s="89" t="str">
        <f>IF(H68="","",COUNT($M$3:M68))</f>
        <v/>
      </c>
      <c r="M68" s="89" t="str">
        <f>IF(H68="","",IF(K68=K67,0,LOOKUP(W68,$B$37:$C$46,$D$37:$D$46)))</f>
        <v/>
      </c>
      <c r="N68" s="24" t="e">
        <f>IF(M68=0,"",VLOOKUP(W68,$B$35:$E$46,4,FALSE))</f>
        <v>#N/A</v>
      </c>
      <c r="O68" s="24" t="str">
        <f>IF(H68="","",IF(I68=TRUE,"",COUNTIF($I$2:I68,FALSE)+1))</f>
        <v/>
      </c>
      <c r="P68" s="89"/>
      <c r="Q68" s="24">
        <v>67</v>
      </c>
      <c r="R68" s="89">
        <f t="shared" ref="R68:R131" si="27">IFERROR(IF(MONTH(W68)=4,R67+1,R67),"")</f>
        <v>7</v>
      </c>
      <c r="S68" s="25" t="str">
        <f t="shared" si="25"/>
        <v>Year 7</v>
      </c>
      <c r="T68" s="89" t="str">
        <f>IF(Q68&lt;=$D$12,Q68,"")</f>
        <v/>
      </c>
      <c r="U68" s="89" t="str">
        <f t="shared" ref="U68:U131" si="28">IFERROR(IF(U67-Y67&lt;=0,"",U67-Y67),"")</f>
        <v/>
      </c>
      <c r="V68" s="18" t="str">
        <f>IF(T68&lt;=$D$12,"Month "&amp;T68,"")</f>
        <v xml:space="preserve">Month </v>
      </c>
      <c r="W68" s="96">
        <f t="shared" ref="W68:W131" si="29">IF(V68="","",EDATE(W67,1))</f>
        <v>2036</v>
      </c>
      <c r="X68" s="89" t="str">
        <f>IFERROR(IF(I68=TRUE,ROUND(U68*H68,2)*(W68-W67),ROUND(U68*H67,2)*(LOOKUP(W67,$B$21:$C$33,$C$21:$C$33)-W67)+ROUND(U68*H68,2)*(W68-LOOKUP(W67,$B$21:$C$33,$C$21:$C$33))),"")</f>
        <v/>
      </c>
      <c r="Y68" s="89" t="str">
        <f>IFERROR(IF(U68&lt;Z67,U68,IF(T68=$D$12,U68,Z68-X68+M68)),"")</f>
        <v/>
      </c>
      <c r="Z68" s="89" t="str">
        <f>IF(U68="","",IF(AND(I68=FALSE,J68="No"),Z67,IF(AND(M67&lt;&gt;0,N67="Yes"),ROUND(-PMT(LOOKUP(W67,'Interest Rates'!$A$5:$A$302,'Interest Rates'!$D$5:$D$302)/12,($D$12-T68+1),U68),0),IF(I68=TRUE,Z67,ROUND(-PMT(VLOOKUP(O68,$A$14:$D$28,4,FALSE)/12,($D$12-T68+1),U68),0)))))</f>
        <v/>
      </c>
      <c r="AA68" s="89" t="str">
        <f t="shared" ref="AA68:AA131" si="30">IFERROR(IF(U69&lt;Z68,Z67+U69,U68-Z68),"")</f>
        <v/>
      </c>
      <c r="AB68" s="89" t="str">
        <f t="shared" ref="AB68:AB131" si="31">IFERROR(X68+Y68,"")</f>
        <v/>
      </c>
      <c r="AC68" s="89"/>
      <c r="AD68" s="9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104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>
        <v>2278</v>
      </c>
      <c r="BD68" s="105" t="s">
        <v>128</v>
      </c>
    </row>
    <row r="69" spans="2:56" x14ac:dyDescent="0.3">
      <c r="B69" s="89"/>
      <c r="C69" s="89"/>
      <c r="D69" s="89"/>
      <c r="E69" s="89"/>
      <c r="F69" s="89"/>
      <c r="G69" s="87"/>
      <c r="H69" s="93" t="str">
        <f>IFERROR(LOOKUP(W69,$B$21:$C$33,$G$21:$G$33),"")</f>
        <v/>
      </c>
      <c r="I69" s="89" t="str">
        <f t="shared" si="26"/>
        <v/>
      </c>
      <c r="J69" s="24" t="e">
        <f>IF(I69=TRUE,"",LOOKUP(W69,$B$21:$C$33,$E$21:$E$33))</f>
        <v>#N/A</v>
      </c>
      <c r="K69" s="89" t="str">
        <f>IF(H69="","",IFERROR(LOOKUP(W69,$B$37:$C$46,$D$37:$D$46),0))</f>
        <v/>
      </c>
      <c r="L69" s="89" t="str">
        <f>IF(H69="","",COUNT($M$3:M69))</f>
        <v/>
      </c>
      <c r="M69" s="89" t="str">
        <f>IF(H69="","",IF(K69=K68,0,LOOKUP(W69,$B$37:$C$46,$D$37:$D$46)))</f>
        <v/>
      </c>
      <c r="N69" s="24" t="e">
        <f>IF(M69=0,"",VLOOKUP(W69,$B$35:$E$46,4,FALSE))</f>
        <v>#N/A</v>
      </c>
      <c r="O69" s="24" t="str">
        <f>IF(H69="","",IF(I69=TRUE,"",COUNTIF($I$2:I69,FALSE)+1))</f>
        <v/>
      </c>
      <c r="P69" s="89"/>
      <c r="Q69" s="87">
        <v>68</v>
      </c>
      <c r="R69" s="89">
        <f t="shared" si="27"/>
        <v>7</v>
      </c>
      <c r="S69" s="25" t="str">
        <f t="shared" si="25"/>
        <v>Year 7</v>
      </c>
      <c r="T69" s="89" t="str">
        <f>IF(Q69&lt;=$D$12,Q69,"")</f>
        <v/>
      </c>
      <c r="U69" s="89" t="str">
        <f t="shared" si="28"/>
        <v/>
      </c>
      <c r="V69" s="18" t="str">
        <f>IF(T69&lt;=$D$12,"Month "&amp;T69,"")</f>
        <v xml:space="preserve">Month </v>
      </c>
      <c r="W69" s="96">
        <f t="shared" si="29"/>
        <v>2067</v>
      </c>
      <c r="X69" s="89" t="str">
        <f>IFERROR(IF(I69=TRUE,ROUND(U69*H69,2)*(W69-W68),ROUND(U69*H68,2)*(LOOKUP(W68,$B$21:$C$33,$C$21:$C$33)-W68)+ROUND(U69*H69,2)*(W69-LOOKUP(W68,$B$21:$C$33,$C$21:$C$33))),"")</f>
        <v/>
      </c>
      <c r="Y69" s="89" t="str">
        <f>IFERROR(IF(U69&lt;Z68,U69,IF(T69=$D$12,U69,Z69-X69+M69)),"")</f>
        <v/>
      </c>
      <c r="Z69" s="89" t="str">
        <f>IF(U69="","",IF(AND(I69=FALSE,J69="No"),Z68,IF(AND(M68&lt;&gt;0,N68="Yes"),ROUND(-PMT(LOOKUP(W68,'Interest Rates'!$A$5:$A$302,'Interest Rates'!$D$5:$D$302)/12,($D$12-T69+1),U69),0),IF(I69=TRUE,Z68,ROUND(-PMT(VLOOKUP(O69,$A$14:$D$28,4,FALSE)/12,($D$12-T69+1),U69),0)))))</f>
        <v/>
      </c>
      <c r="AA69" s="89" t="str">
        <f t="shared" si="30"/>
        <v/>
      </c>
      <c r="AB69" s="89" t="str">
        <f t="shared" si="31"/>
        <v/>
      </c>
      <c r="AC69" s="89"/>
      <c r="AD69" s="9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104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>
        <v>2279</v>
      </c>
      <c r="BD69" s="105" t="s">
        <v>129</v>
      </c>
    </row>
    <row r="70" spans="2:56" x14ac:dyDescent="0.3">
      <c r="B70" s="89"/>
      <c r="C70" s="89"/>
      <c r="D70" s="89"/>
      <c r="E70" s="89"/>
      <c r="F70" s="89"/>
      <c r="G70" s="87"/>
      <c r="H70" s="93" t="str">
        <f>IFERROR(LOOKUP(W70,$B$21:$C$33,$G$21:$G$33),"")</f>
        <v/>
      </c>
      <c r="I70" s="89" t="str">
        <f t="shared" si="26"/>
        <v/>
      </c>
      <c r="J70" s="24" t="e">
        <f>IF(I70=TRUE,"",LOOKUP(W70,$B$21:$C$33,$E$21:$E$33))</f>
        <v>#N/A</v>
      </c>
      <c r="K70" s="89" t="str">
        <f>IF(H70="","",IFERROR(LOOKUP(W70,$B$37:$C$46,$D$37:$D$46),0))</f>
        <v/>
      </c>
      <c r="L70" s="89" t="str">
        <f>IF(H70="","",COUNT($M$3:M70))</f>
        <v/>
      </c>
      <c r="M70" s="89" t="str">
        <f>IF(H70="","",IF(K70=K69,0,LOOKUP(W70,$B$37:$C$46,$D$37:$D$46)))</f>
        <v/>
      </c>
      <c r="N70" s="24" t="e">
        <f>IF(M70=0,"",VLOOKUP(W70,$B$35:$E$46,4,FALSE))</f>
        <v>#N/A</v>
      </c>
      <c r="O70" s="24" t="str">
        <f>IF(H70="","",IF(I70=TRUE,"",COUNTIF($I$2:I70,FALSE)+1))</f>
        <v/>
      </c>
      <c r="P70" s="89"/>
      <c r="Q70" s="24">
        <v>69</v>
      </c>
      <c r="R70" s="89">
        <f t="shared" si="27"/>
        <v>7</v>
      </c>
      <c r="S70" s="25" t="str">
        <f t="shared" si="25"/>
        <v>Year 7</v>
      </c>
      <c r="T70" s="89" t="str">
        <f>IF(Q70&lt;=$D$12,Q70,"")</f>
        <v/>
      </c>
      <c r="U70" s="89" t="str">
        <f t="shared" si="28"/>
        <v/>
      </c>
      <c r="V70" s="18" t="str">
        <f>IF(T70&lt;=$D$12,"Month "&amp;T70,"")</f>
        <v xml:space="preserve">Month </v>
      </c>
      <c r="W70" s="96">
        <f t="shared" si="29"/>
        <v>2098</v>
      </c>
      <c r="X70" s="89" t="str">
        <f>IFERROR(IF(I70=TRUE,ROUND(U70*H70,2)*(W70-W69),ROUND(U70*H69,2)*(LOOKUP(W69,$B$21:$C$33,$C$21:$C$33)-W69)+ROUND(U70*H70,2)*(W70-LOOKUP(W69,$B$21:$C$33,$C$21:$C$33))),"")</f>
        <v/>
      </c>
      <c r="Y70" s="89" t="str">
        <f>IFERROR(IF(U70&lt;Z69,U70,IF(T70=$D$12,U70,Z70-X70+M70)),"")</f>
        <v/>
      </c>
      <c r="Z70" s="89" t="str">
        <f>IF(U70="","",IF(AND(I70=FALSE,J70="No"),Z69,IF(AND(M69&lt;&gt;0,N69="Yes"),ROUND(-PMT(LOOKUP(W69,'Interest Rates'!$A$5:$A$302,'Interest Rates'!$D$5:$D$302)/12,($D$12-T70+1),U70),0),IF(I70=TRUE,Z69,ROUND(-PMT(VLOOKUP(O70,$A$14:$D$28,4,FALSE)/12,($D$12-T70+1),U70),0)))))</f>
        <v/>
      </c>
      <c r="AA70" s="89" t="str">
        <f t="shared" si="30"/>
        <v/>
      </c>
      <c r="AB70" s="89" t="str">
        <f t="shared" si="31"/>
        <v/>
      </c>
      <c r="AC70" s="89"/>
      <c r="AD70" s="9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104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>
        <v>2280</v>
      </c>
      <c r="BD70" s="105" t="s">
        <v>130</v>
      </c>
    </row>
    <row r="71" spans="2:56" x14ac:dyDescent="0.3">
      <c r="B71" s="89"/>
      <c r="C71" s="89"/>
      <c r="D71" s="89"/>
      <c r="E71" s="89"/>
      <c r="F71" s="89"/>
      <c r="G71" s="87"/>
      <c r="H71" s="93" t="str">
        <f>IFERROR(LOOKUP(W71,$B$21:$C$33,$G$21:$G$33),"")</f>
        <v/>
      </c>
      <c r="I71" s="89" t="str">
        <f t="shared" si="26"/>
        <v/>
      </c>
      <c r="J71" s="24" t="e">
        <f>IF(I71=TRUE,"",LOOKUP(W71,$B$21:$C$33,$E$21:$E$33))</f>
        <v>#N/A</v>
      </c>
      <c r="K71" s="89" t="str">
        <f>IF(H71="","",IFERROR(LOOKUP(W71,$B$37:$C$46,$D$37:$D$46),0))</f>
        <v/>
      </c>
      <c r="L71" s="89" t="str">
        <f>IF(H71="","",COUNT($M$3:M71))</f>
        <v/>
      </c>
      <c r="M71" s="89" t="str">
        <f>IF(H71="","",IF(K71=K70,0,LOOKUP(W71,$B$37:$C$46,$D$37:$D$46)))</f>
        <v/>
      </c>
      <c r="N71" s="24" t="e">
        <f>IF(M71=0,"",VLOOKUP(W71,$B$35:$E$46,4,FALSE))</f>
        <v>#N/A</v>
      </c>
      <c r="O71" s="24" t="str">
        <f>IF(H71="","",IF(I71=TRUE,"",COUNTIF($I$2:I71,FALSE)+1))</f>
        <v/>
      </c>
      <c r="P71" s="89"/>
      <c r="Q71" s="87">
        <v>70</v>
      </c>
      <c r="R71" s="89">
        <f t="shared" si="27"/>
        <v>7</v>
      </c>
      <c r="S71" s="25" t="str">
        <f t="shared" si="25"/>
        <v>Year 7</v>
      </c>
      <c r="T71" s="89" t="str">
        <f>IF(Q71&lt;=$D$12,Q71,"")</f>
        <v/>
      </c>
      <c r="U71" s="89" t="str">
        <f t="shared" si="28"/>
        <v/>
      </c>
      <c r="V71" s="18" t="str">
        <f>IF(T71&lt;=$D$12,"Month "&amp;T71,"")</f>
        <v xml:space="preserve">Month </v>
      </c>
      <c r="W71" s="96">
        <f t="shared" si="29"/>
        <v>2128</v>
      </c>
      <c r="X71" s="89" t="str">
        <f>IFERROR(IF(I71=TRUE,ROUND(U71*H71,2)*(W71-W70),ROUND(U71*H70,2)*(LOOKUP(W70,$B$21:$C$33,$C$21:$C$33)-W70)+ROUND(U71*H71,2)*(W71-LOOKUP(W70,$B$21:$C$33,$C$21:$C$33))),"")</f>
        <v/>
      </c>
      <c r="Y71" s="89" t="str">
        <f>IFERROR(IF(U71&lt;Z70,U71,IF(T71=$D$12,U71,Z71-X71+M71)),"")</f>
        <v/>
      </c>
      <c r="Z71" s="89" t="str">
        <f>IF(U71="","",IF(AND(I71=FALSE,J71="No"),Z70,IF(AND(M70&lt;&gt;0,N70="Yes"),ROUND(-PMT(LOOKUP(W70,'Interest Rates'!$A$5:$A$302,'Interest Rates'!$D$5:$D$302)/12,($D$12-T71+1),U71),0),IF(I71=TRUE,Z70,ROUND(-PMT(VLOOKUP(O71,$A$14:$D$28,4,FALSE)/12,($D$12-T71+1),U71),0)))))</f>
        <v/>
      </c>
      <c r="AA71" s="89" t="str">
        <f t="shared" si="30"/>
        <v/>
      </c>
      <c r="AB71" s="89" t="str">
        <f t="shared" si="31"/>
        <v/>
      </c>
      <c r="AC71" s="89"/>
      <c r="AD71" s="9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104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>
        <v>2282</v>
      </c>
      <c r="BD71" s="105" t="s">
        <v>249</v>
      </c>
    </row>
    <row r="72" spans="2:56" x14ac:dyDescent="0.3">
      <c r="B72" s="89"/>
      <c r="C72" s="89"/>
      <c r="D72" s="89"/>
      <c r="E72" s="89"/>
      <c r="F72" s="89"/>
      <c r="G72" s="87"/>
      <c r="H72" s="93" t="str">
        <f>IFERROR(LOOKUP(W72,$B$21:$C$33,$G$21:$G$33),"")</f>
        <v/>
      </c>
      <c r="I72" s="89" t="str">
        <f t="shared" si="26"/>
        <v/>
      </c>
      <c r="J72" s="24" t="e">
        <f>IF(I72=TRUE,"",LOOKUP(W72,$B$21:$C$33,$E$21:$E$33))</f>
        <v>#N/A</v>
      </c>
      <c r="K72" s="89" t="str">
        <f>IF(H72="","",IFERROR(LOOKUP(W72,$B$37:$C$46,$D$37:$D$46),0))</f>
        <v/>
      </c>
      <c r="L72" s="89" t="str">
        <f>IF(H72="","",COUNT($M$3:M72))</f>
        <v/>
      </c>
      <c r="M72" s="89" t="str">
        <f>IF(H72="","",IF(K72=K71,0,LOOKUP(W72,$B$37:$C$46,$D$37:$D$46)))</f>
        <v/>
      </c>
      <c r="N72" s="24" t="e">
        <f>IF(M72=0,"",VLOOKUP(W72,$B$35:$E$46,4,FALSE))</f>
        <v>#N/A</v>
      </c>
      <c r="O72" s="24" t="str">
        <f>IF(H72="","",IF(I72=TRUE,"",COUNTIF($I$2:I72,FALSE)+1))</f>
        <v/>
      </c>
      <c r="P72" s="89"/>
      <c r="Q72" s="24">
        <v>71</v>
      </c>
      <c r="R72" s="89">
        <f t="shared" si="27"/>
        <v>7</v>
      </c>
      <c r="S72" s="25" t="str">
        <f t="shared" si="25"/>
        <v>Year 7</v>
      </c>
      <c r="T72" s="89" t="str">
        <f>IF(Q72&lt;=$D$12,Q72,"")</f>
        <v/>
      </c>
      <c r="U72" s="89" t="str">
        <f t="shared" si="28"/>
        <v/>
      </c>
      <c r="V72" s="18" t="str">
        <f>IF(T72&lt;=$D$12,"Month "&amp;T72,"")</f>
        <v xml:space="preserve">Month </v>
      </c>
      <c r="W72" s="96">
        <f t="shared" si="29"/>
        <v>2159</v>
      </c>
      <c r="X72" s="89" t="str">
        <f>IFERROR(IF(I72=TRUE,ROUND(U72*H72,2)*(W72-W71),ROUND(U72*H71,2)*(LOOKUP(W71,$B$21:$C$33,$C$21:$C$33)-W71)+ROUND(U72*H72,2)*(W72-LOOKUP(W71,$B$21:$C$33,$C$21:$C$33))),"")</f>
        <v/>
      </c>
      <c r="Y72" s="89" t="str">
        <f>IFERROR(IF(U72&lt;Z71,U72,IF(T72=$D$12,U72,Z72-X72+M72)),"")</f>
        <v/>
      </c>
      <c r="Z72" s="89" t="str">
        <f>IF(U72="","",IF(AND(I72=FALSE,J72="No"),Z71,IF(AND(M71&lt;&gt;0,N71="Yes"),ROUND(-PMT(LOOKUP(W71,'Interest Rates'!$A$5:$A$302,'Interest Rates'!$D$5:$D$302)/12,($D$12-T72+1),U72),0),IF(I72=TRUE,Z71,ROUND(-PMT(VLOOKUP(O72,$A$14:$D$28,4,FALSE)/12,($D$12-T72+1),U72),0)))))</f>
        <v/>
      </c>
      <c r="AA72" s="89" t="str">
        <f t="shared" si="30"/>
        <v/>
      </c>
      <c r="AB72" s="89" t="str">
        <f t="shared" si="31"/>
        <v/>
      </c>
      <c r="AC72" s="89"/>
      <c r="AD72" s="9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104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>
        <v>2285</v>
      </c>
      <c r="BD72" s="105" t="s">
        <v>131</v>
      </c>
    </row>
    <row r="73" spans="2:56" x14ac:dyDescent="0.3">
      <c r="B73" s="89"/>
      <c r="C73" s="89"/>
      <c r="D73" s="89"/>
      <c r="E73" s="89"/>
      <c r="F73" s="89"/>
      <c r="G73" s="87"/>
      <c r="H73" s="93" t="str">
        <f>IFERROR(LOOKUP(W73,$B$21:$C$33,$G$21:$G$33),"")</f>
        <v/>
      </c>
      <c r="I73" s="89" t="str">
        <f t="shared" si="26"/>
        <v/>
      </c>
      <c r="J73" s="24" t="e">
        <f>IF(I73=TRUE,"",LOOKUP(W73,$B$21:$C$33,$E$21:$E$33))</f>
        <v>#N/A</v>
      </c>
      <c r="K73" s="89" t="str">
        <f>IF(H73="","",IFERROR(LOOKUP(W73,$B$37:$C$46,$D$37:$D$46),0))</f>
        <v/>
      </c>
      <c r="L73" s="89" t="str">
        <f>IF(H73="","",COUNT($M$3:M73))</f>
        <v/>
      </c>
      <c r="M73" s="89" t="str">
        <f>IF(H73="","",IF(K73=K72,0,LOOKUP(W73,$B$37:$C$46,$D$37:$D$46)))</f>
        <v/>
      </c>
      <c r="N73" s="24" t="e">
        <f>IF(M73=0,"",VLOOKUP(W73,$B$35:$E$46,4,FALSE))</f>
        <v>#N/A</v>
      </c>
      <c r="O73" s="24" t="str">
        <f>IF(H73="","",IF(I73=TRUE,"",COUNTIF($I$2:I73,FALSE)+1))</f>
        <v/>
      </c>
      <c r="P73" s="89"/>
      <c r="Q73" s="87">
        <v>72</v>
      </c>
      <c r="R73" s="89">
        <f t="shared" si="27"/>
        <v>7</v>
      </c>
      <c r="S73" s="25" t="str">
        <f t="shared" si="25"/>
        <v>Year 7</v>
      </c>
      <c r="T73" s="89" t="str">
        <f>IF(Q73&lt;=$D$12,Q73,"")</f>
        <v/>
      </c>
      <c r="U73" s="89" t="str">
        <f t="shared" si="28"/>
        <v/>
      </c>
      <c r="V73" s="18" t="str">
        <f>IF(T73&lt;=$D$12,"Month "&amp;T73,"")</f>
        <v xml:space="preserve">Month </v>
      </c>
      <c r="W73" s="96">
        <f t="shared" si="29"/>
        <v>2189</v>
      </c>
      <c r="X73" s="89" t="str">
        <f>IFERROR(IF(I73=TRUE,ROUND(U73*H73,2)*(W73-W72),ROUND(U73*H72,2)*(LOOKUP(W72,$B$21:$C$33,$C$21:$C$33)-W72)+ROUND(U73*H73,2)*(W73-LOOKUP(W72,$B$21:$C$33,$C$21:$C$33))),"")</f>
        <v/>
      </c>
      <c r="Y73" s="89" t="str">
        <f>IFERROR(IF(U73&lt;Z72,U73,IF(T73=$D$12,U73,Z73-X73+M73)),"")</f>
        <v/>
      </c>
      <c r="Z73" s="89" t="str">
        <f>IF(U73="","",IF(AND(I73=FALSE,J73="No"),Z72,IF(AND(M72&lt;&gt;0,N72="Yes"),ROUND(-PMT(LOOKUP(W72,'Interest Rates'!$A$5:$A$302,'Interest Rates'!$D$5:$D$302)/12,($D$12-T73+1),U73),0),IF(I73=TRUE,Z72,ROUND(-PMT(VLOOKUP(O73,$A$14:$D$28,4,FALSE)/12,($D$12-T73+1),U73),0)))))</f>
        <v/>
      </c>
      <c r="AA73" s="89" t="str">
        <f t="shared" si="30"/>
        <v/>
      </c>
      <c r="AB73" s="89" t="str">
        <f t="shared" si="31"/>
        <v/>
      </c>
      <c r="AC73" s="89"/>
      <c r="AD73" s="9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104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>
        <v>2289</v>
      </c>
      <c r="BD73" s="105" t="s">
        <v>132</v>
      </c>
    </row>
    <row r="74" spans="2:56" x14ac:dyDescent="0.3">
      <c r="B74" s="89"/>
      <c r="C74" s="89"/>
      <c r="D74" s="89"/>
      <c r="E74" s="89"/>
      <c r="F74" s="89"/>
      <c r="G74" s="87"/>
      <c r="H74" s="93" t="str">
        <f>IFERROR(LOOKUP(W74,$B$21:$C$33,$G$21:$G$33),"")</f>
        <v/>
      </c>
      <c r="I74" s="89" t="str">
        <f t="shared" si="26"/>
        <v/>
      </c>
      <c r="J74" s="24" t="e">
        <f>IF(I74=TRUE,"",LOOKUP(W74,$B$21:$C$33,$E$21:$E$33))</f>
        <v>#N/A</v>
      </c>
      <c r="K74" s="89" t="str">
        <f>IF(H74="","",IFERROR(LOOKUP(W74,$B$37:$C$46,$D$37:$D$46),0))</f>
        <v/>
      </c>
      <c r="L74" s="89" t="str">
        <f>IF(H74="","",COUNT($M$3:M74))</f>
        <v/>
      </c>
      <c r="M74" s="89" t="str">
        <f>IF(H74="","",IF(K74=K73,0,LOOKUP(W74,$B$37:$C$46,$D$37:$D$46)))</f>
        <v/>
      </c>
      <c r="N74" s="24" t="e">
        <f>IF(M74=0,"",VLOOKUP(W74,$B$35:$E$46,4,FALSE))</f>
        <v>#N/A</v>
      </c>
      <c r="O74" s="24" t="str">
        <f>IF(H74="","",IF(I74=TRUE,"",COUNTIF($I$2:I74,FALSE)+1))</f>
        <v/>
      </c>
      <c r="P74" s="89"/>
      <c r="Q74" s="24">
        <v>73</v>
      </c>
      <c r="R74" s="89">
        <f t="shared" si="27"/>
        <v>7</v>
      </c>
      <c r="S74" s="25" t="str">
        <f t="shared" si="25"/>
        <v>Year 7</v>
      </c>
      <c r="T74" s="89" t="str">
        <f>IF(Q74&lt;=$D$12,Q74,"")</f>
        <v/>
      </c>
      <c r="U74" s="89" t="str">
        <f t="shared" si="28"/>
        <v/>
      </c>
      <c r="V74" s="18" t="str">
        <f>IF(T74&lt;=$D$12,"Month "&amp;T74,"")</f>
        <v xml:space="preserve">Month </v>
      </c>
      <c r="W74" s="96">
        <f t="shared" si="29"/>
        <v>2220</v>
      </c>
      <c r="X74" s="89" t="str">
        <f>IFERROR(IF(I74=TRUE,ROUND(U74*H74,2)*(W74-W73),ROUND(U74*H73,2)*(LOOKUP(W73,$B$21:$C$33,$C$21:$C$33)-W73)+ROUND(U74*H74,2)*(W74-LOOKUP(W73,$B$21:$C$33,$C$21:$C$33))),"")</f>
        <v/>
      </c>
      <c r="Y74" s="89" t="str">
        <f>IFERROR(IF(U74&lt;Z73,U74,IF(T74=$D$12,U74,Z74-X74+M74)),"")</f>
        <v/>
      </c>
      <c r="Z74" s="89" t="str">
        <f>IF(U74="","",IF(AND(I74=FALSE,J74="No"),Z73,IF(AND(M73&lt;&gt;0,N73="Yes"),ROUND(-PMT(LOOKUP(W73,'Interest Rates'!$A$5:$A$302,'Interest Rates'!$D$5:$D$302)/12,($D$12-T74+1),U74),0),IF(I74=TRUE,Z73,ROUND(-PMT(VLOOKUP(O74,$A$14:$D$28,4,FALSE)/12,($D$12-T74+1),U74),0)))))</f>
        <v/>
      </c>
      <c r="AA74" s="89" t="str">
        <f t="shared" si="30"/>
        <v/>
      </c>
      <c r="AB74" s="89" t="str">
        <f t="shared" si="31"/>
        <v/>
      </c>
      <c r="AC74" s="89"/>
      <c r="AD74" s="9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104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>
        <v>2298</v>
      </c>
      <c r="BD74" s="105" t="s">
        <v>133</v>
      </c>
    </row>
    <row r="75" spans="2:56" x14ac:dyDescent="0.3">
      <c r="B75" s="89"/>
      <c r="C75" s="89"/>
      <c r="D75" s="89"/>
      <c r="E75" s="89"/>
      <c r="F75" s="89"/>
      <c r="G75" s="87"/>
      <c r="H75" s="93" t="str">
        <f>IFERROR(LOOKUP(W75,$B$21:$C$33,$G$21:$G$33),"")</f>
        <v/>
      </c>
      <c r="I75" s="89" t="str">
        <f t="shared" si="26"/>
        <v/>
      </c>
      <c r="J75" s="24" t="e">
        <f>IF(I75=TRUE,"",LOOKUP(W75,$B$21:$C$33,$E$21:$E$33))</f>
        <v>#N/A</v>
      </c>
      <c r="K75" s="89" t="str">
        <f>IF(H75="","",IFERROR(LOOKUP(W75,$B$37:$C$46,$D$37:$D$46),0))</f>
        <v/>
      </c>
      <c r="L75" s="89" t="str">
        <f>IF(H75="","",COUNT($M$3:M75))</f>
        <v/>
      </c>
      <c r="M75" s="89" t="str">
        <f>IF(H75="","",IF(K75=K74,0,LOOKUP(W75,$B$37:$C$46,$D$37:$D$46)))</f>
        <v/>
      </c>
      <c r="N75" s="24" t="e">
        <f>IF(M75=0,"",VLOOKUP(W75,$B$35:$E$46,4,FALSE))</f>
        <v>#N/A</v>
      </c>
      <c r="O75" s="24" t="str">
        <f>IF(H75="","",IF(I75=TRUE,"",COUNTIF($I$2:I75,FALSE)+1))</f>
        <v/>
      </c>
      <c r="P75" s="89"/>
      <c r="Q75" s="87">
        <v>74</v>
      </c>
      <c r="R75" s="89">
        <f t="shared" si="27"/>
        <v>7</v>
      </c>
      <c r="S75" s="25" t="str">
        <f t="shared" si="25"/>
        <v>Year 7</v>
      </c>
      <c r="T75" s="89" t="str">
        <f>IF(Q75&lt;=$D$12,Q75,"")</f>
        <v/>
      </c>
      <c r="U75" s="89" t="str">
        <f t="shared" si="28"/>
        <v/>
      </c>
      <c r="V75" s="18" t="str">
        <f>IF(T75&lt;=$D$12,"Month "&amp;T75,"")</f>
        <v xml:space="preserve">Month </v>
      </c>
      <c r="W75" s="96">
        <f t="shared" si="29"/>
        <v>2251</v>
      </c>
      <c r="X75" s="89" t="str">
        <f>IFERROR(IF(I75=TRUE,ROUND(U75*H75,2)*(W75-W74),ROUND(U75*H74,2)*(LOOKUP(W74,$B$21:$C$33,$C$21:$C$33)-W74)+ROUND(U75*H75,2)*(W75-LOOKUP(W74,$B$21:$C$33,$C$21:$C$33))),"")</f>
        <v/>
      </c>
      <c r="Y75" s="89" t="str">
        <f>IFERROR(IF(U75&lt;Z74,U75,IF(T75=$D$12,U75,Z75-X75+M75)),"")</f>
        <v/>
      </c>
      <c r="Z75" s="89" t="str">
        <f>IF(U75="","",IF(AND(I75=FALSE,J75="No"),Z74,IF(AND(M74&lt;&gt;0,N74="Yes"),ROUND(-PMT(LOOKUP(W74,'Interest Rates'!$A$5:$A$302,'Interest Rates'!$D$5:$D$302)/12,($D$12-T75+1),U75),0),IF(I75=TRUE,Z74,ROUND(-PMT(VLOOKUP(O75,$A$14:$D$28,4,FALSE)/12,($D$12-T75+1),U75),0)))))</f>
        <v/>
      </c>
      <c r="AA75" s="89" t="str">
        <f t="shared" si="30"/>
        <v/>
      </c>
      <c r="AB75" s="89" t="str">
        <f t="shared" si="31"/>
        <v/>
      </c>
      <c r="AC75" s="89"/>
      <c r="AD75" s="9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104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>
        <v>2300</v>
      </c>
      <c r="BD75" s="105" t="s">
        <v>134</v>
      </c>
    </row>
    <row r="76" spans="2:56" x14ac:dyDescent="0.3">
      <c r="B76" s="89"/>
      <c r="C76" s="89"/>
      <c r="D76" s="89"/>
      <c r="E76" s="89"/>
      <c r="F76" s="89"/>
      <c r="G76" s="87"/>
      <c r="H76" s="93" t="str">
        <f>IFERROR(LOOKUP(W76,$B$21:$C$33,$G$21:$G$33),"")</f>
        <v/>
      </c>
      <c r="I76" s="89" t="str">
        <f t="shared" si="26"/>
        <v/>
      </c>
      <c r="J76" s="24" t="e">
        <f>IF(I76=TRUE,"",LOOKUP(W76,$B$21:$C$33,$E$21:$E$33))</f>
        <v>#N/A</v>
      </c>
      <c r="K76" s="89" t="str">
        <f>IF(H76="","",IFERROR(LOOKUP(W76,$B$37:$C$46,$D$37:$D$46),0))</f>
        <v/>
      </c>
      <c r="L76" s="89" t="str">
        <f>IF(H76="","",COUNT($M$3:M76))</f>
        <v/>
      </c>
      <c r="M76" s="89" t="str">
        <f>IF(H76="","",IF(K76=K75,0,LOOKUP(W76,$B$37:$C$46,$D$37:$D$46)))</f>
        <v/>
      </c>
      <c r="N76" s="24" t="e">
        <f>IF(M76=0,"",VLOOKUP(W76,$B$35:$E$46,4,FALSE))</f>
        <v>#N/A</v>
      </c>
      <c r="O76" s="24" t="str">
        <f>IF(H76="","",IF(I76=TRUE,"",COUNTIF($I$2:I76,FALSE)+1))</f>
        <v/>
      </c>
      <c r="P76" s="89"/>
      <c r="Q76" s="24">
        <v>75</v>
      </c>
      <c r="R76" s="89">
        <f t="shared" si="27"/>
        <v>7</v>
      </c>
      <c r="S76" s="25" t="str">
        <f t="shared" si="25"/>
        <v>Year 7</v>
      </c>
      <c r="T76" s="89" t="str">
        <f>IF(Q76&lt;=$D$12,Q76,"")</f>
        <v/>
      </c>
      <c r="U76" s="89" t="str">
        <f t="shared" si="28"/>
        <v/>
      </c>
      <c r="V76" s="18" t="str">
        <f>IF(T76&lt;=$D$12,"Month "&amp;T76,"")</f>
        <v xml:space="preserve">Month </v>
      </c>
      <c r="W76" s="96">
        <f t="shared" si="29"/>
        <v>2279</v>
      </c>
      <c r="X76" s="89" t="str">
        <f>IFERROR(IF(I76=TRUE,ROUND(U76*H76,2)*(W76-W75),ROUND(U76*H75,2)*(LOOKUP(W75,$B$21:$C$33,$C$21:$C$33)-W75)+ROUND(U76*H76,2)*(W76-LOOKUP(W75,$B$21:$C$33,$C$21:$C$33))),"")</f>
        <v/>
      </c>
      <c r="Y76" s="89" t="str">
        <f>IFERROR(IF(U76&lt;Z75,U76,IF(T76=$D$12,U76,Z76-X76+M76)),"")</f>
        <v/>
      </c>
      <c r="Z76" s="89" t="str">
        <f>IF(U76="","",IF(AND(I76=FALSE,J76="No"),Z75,IF(AND(M75&lt;&gt;0,N75="Yes"),ROUND(-PMT(LOOKUP(W75,'Interest Rates'!$A$5:$A$302,'Interest Rates'!$D$5:$D$302)/12,($D$12-T76+1),U76),0),IF(I76=TRUE,Z75,ROUND(-PMT(VLOOKUP(O76,$A$14:$D$28,4,FALSE)/12,($D$12-T76+1),U76),0)))))</f>
        <v/>
      </c>
      <c r="AA76" s="89" t="str">
        <f t="shared" si="30"/>
        <v/>
      </c>
      <c r="AB76" s="89" t="str">
        <f t="shared" si="31"/>
        <v/>
      </c>
      <c r="AC76" s="89"/>
      <c r="AD76" s="9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104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>
        <v>2312</v>
      </c>
      <c r="BD76" s="105" t="s">
        <v>135</v>
      </c>
    </row>
    <row r="77" spans="2:56" x14ac:dyDescent="0.3">
      <c r="B77" s="89"/>
      <c r="C77" s="89"/>
      <c r="D77" s="89"/>
      <c r="E77" s="89"/>
      <c r="F77" s="89"/>
      <c r="G77" s="87"/>
      <c r="H77" s="93" t="str">
        <f>IFERROR(LOOKUP(W77,$B$21:$C$33,$G$21:$G$33),"")</f>
        <v/>
      </c>
      <c r="I77" s="89" t="str">
        <f t="shared" si="26"/>
        <v/>
      </c>
      <c r="J77" s="24" t="e">
        <f>IF(I77=TRUE,"",LOOKUP(W77,$B$21:$C$33,$E$21:$E$33))</f>
        <v>#N/A</v>
      </c>
      <c r="K77" s="89" t="str">
        <f>IF(H77="","",IFERROR(LOOKUP(W77,$B$37:$C$46,$D$37:$D$46),0))</f>
        <v/>
      </c>
      <c r="L77" s="89" t="str">
        <f>IF(H77="","",COUNT($M$3:M77))</f>
        <v/>
      </c>
      <c r="M77" s="89" t="str">
        <f>IF(H77="","",IF(K77=K76,0,LOOKUP(W77,$B$37:$C$46,$D$37:$D$46)))</f>
        <v/>
      </c>
      <c r="N77" s="24" t="e">
        <f>IF(M77=0,"",VLOOKUP(W77,$B$35:$E$46,4,FALSE))</f>
        <v>#N/A</v>
      </c>
      <c r="O77" s="24" t="str">
        <f>IF(H77="","",IF(I77=TRUE,"",COUNTIF($I$2:I77,FALSE)+1))</f>
        <v/>
      </c>
      <c r="P77" s="89"/>
      <c r="Q77" s="87">
        <v>76</v>
      </c>
      <c r="R77" s="89">
        <f t="shared" si="27"/>
        <v>8</v>
      </c>
      <c r="S77" s="25" t="str">
        <f t="shared" si="25"/>
        <v>Year 8</v>
      </c>
      <c r="T77" s="89" t="str">
        <f>IF(Q77&lt;=$D$12,Q77,"")</f>
        <v/>
      </c>
      <c r="U77" s="89" t="str">
        <f t="shared" si="28"/>
        <v/>
      </c>
      <c r="V77" s="18" t="str">
        <f>IF(T77&lt;=$D$12,"Month "&amp;T77,"")</f>
        <v xml:space="preserve">Month </v>
      </c>
      <c r="W77" s="96">
        <f t="shared" si="29"/>
        <v>2310</v>
      </c>
      <c r="X77" s="89" t="str">
        <f>IFERROR(IF(I77=TRUE,ROUND(U77*H77,2)*(W77-W76),ROUND(U77*H76,2)*(LOOKUP(W76,$B$21:$C$33,$C$21:$C$33)-W76)+ROUND(U77*H77,2)*(W77-LOOKUP(W76,$B$21:$C$33,$C$21:$C$33))),"")</f>
        <v/>
      </c>
      <c r="Y77" s="89" t="str">
        <f>IFERROR(IF(U77&lt;Z76,U77,IF(T77=$D$12,U77,Z77-X77+M77)),"")</f>
        <v/>
      </c>
      <c r="Z77" s="89" t="str">
        <f>IF(U77="","",IF(AND(I77=FALSE,J77="No"),Z76,IF(AND(M76&lt;&gt;0,N76="Yes"),ROUND(-PMT(LOOKUP(W76,'Interest Rates'!$A$5:$A$302,'Interest Rates'!$D$5:$D$302)/12,($D$12-T77+1),U77),0),IF(I77=TRUE,Z76,ROUND(-PMT(VLOOKUP(O77,$A$14:$D$28,4,FALSE)/12,($D$12-T77+1),U77),0)))))</f>
        <v/>
      </c>
      <c r="AA77" s="89" t="str">
        <f t="shared" si="30"/>
        <v/>
      </c>
      <c r="AB77" s="89" t="str">
        <f t="shared" si="31"/>
        <v/>
      </c>
      <c r="AC77" s="89"/>
      <c r="AD77" s="9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104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>
        <v>2318</v>
      </c>
      <c r="BD77" s="105" t="s">
        <v>136</v>
      </c>
    </row>
    <row r="78" spans="2:56" x14ac:dyDescent="0.3">
      <c r="B78" s="89"/>
      <c r="C78" s="89"/>
      <c r="D78" s="89"/>
      <c r="E78" s="89"/>
      <c r="F78" s="89"/>
      <c r="G78" s="87"/>
      <c r="H78" s="93" t="str">
        <f>IFERROR(LOOKUP(W78,$B$21:$C$33,$G$21:$G$33),"")</f>
        <v/>
      </c>
      <c r="I78" s="89" t="str">
        <f t="shared" si="26"/>
        <v/>
      </c>
      <c r="J78" s="24" t="e">
        <f>IF(I78=TRUE,"",LOOKUP(W78,$B$21:$C$33,$E$21:$E$33))</f>
        <v>#N/A</v>
      </c>
      <c r="K78" s="89" t="str">
        <f>IF(H78="","",IFERROR(LOOKUP(W78,$B$37:$C$46,$D$37:$D$46),0))</f>
        <v/>
      </c>
      <c r="L78" s="89" t="str">
        <f>IF(H78="","",COUNT($M$3:M78))</f>
        <v/>
      </c>
      <c r="M78" s="89" t="str">
        <f>IF(H78="","",IF(K78=K77,0,LOOKUP(W78,$B$37:$C$46,$D$37:$D$46)))</f>
        <v/>
      </c>
      <c r="N78" s="24" t="e">
        <f>IF(M78=0,"",VLOOKUP(W78,$B$35:$E$46,4,FALSE))</f>
        <v>#N/A</v>
      </c>
      <c r="O78" s="24" t="str">
        <f>IF(H78="","",IF(I78=TRUE,"",COUNTIF($I$2:I78,FALSE)+1))</f>
        <v/>
      </c>
      <c r="P78" s="89"/>
      <c r="Q78" s="24">
        <v>77</v>
      </c>
      <c r="R78" s="89">
        <f t="shared" si="27"/>
        <v>8</v>
      </c>
      <c r="S78" s="25" t="str">
        <f t="shared" si="25"/>
        <v>Year 8</v>
      </c>
      <c r="T78" s="89" t="str">
        <f>IF(Q78&lt;=$D$12,Q78,"")</f>
        <v/>
      </c>
      <c r="U78" s="89" t="str">
        <f t="shared" si="28"/>
        <v/>
      </c>
      <c r="V78" s="18" t="str">
        <f>IF(T78&lt;=$D$12,"Month "&amp;T78,"")</f>
        <v xml:space="preserve">Month </v>
      </c>
      <c r="W78" s="96">
        <f t="shared" si="29"/>
        <v>2340</v>
      </c>
      <c r="X78" s="89" t="str">
        <f>IFERROR(IF(I78=TRUE,ROUND(U78*H78,2)*(W78-W77),ROUND(U78*H77,2)*(LOOKUP(W77,$B$21:$C$33,$C$21:$C$33)-W77)+ROUND(U78*H78,2)*(W78-LOOKUP(W77,$B$21:$C$33,$C$21:$C$33))),"")</f>
        <v/>
      </c>
      <c r="Y78" s="89" t="str">
        <f>IFERROR(IF(U78&lt;Z77,U78,IF(T78=$D$12,U78,Z78-X78+M78)),"")</f>
        <v/>
      </c>
      <c r="Z78" s="89" t="str">
        <f>IF(U78="","",IF(AND(I78=FALSE,J78="No"),Z77,IF(AND(M77&lt;&gt;0,N77="Yes"),ROUND(-PMT(LOOKUP(W77,'Interest Rates'!$A$5:$A$302,'Interest Rates'!$D$5:$D$302)/12,($D$12-T78+1),U78),0),IF(I78=TRUE,Z77,ROUND(-PMT(VLOOKUP(O78,$A$14:$D$28,4,FALSE)/12,($D$12-T78+1),U78),0)))))</f>
        <v/>
      </c>
      <c r="AA78" s="89" t="str">
        <f t="shared" si="30"/>
        <v/>
      </c>
      <c r="AB78" s="89" t="str">
        <f t="shared" si="31"/>
        <v/>
      </c>
      <c r="AC78" s="89"/>
      <c r="AD78" s="9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104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>
        <v>2320</v>
      </c>
      <c r="BD78" s="105" t="s">
        <v>250</v>
      </c>
    </row>
    <row r="79" spans="2:56" x14ac:dyDescent="0.3">
      <c r="B79" s="89"/>
      <c r="C79" s="89"/>
      <c r="D79" s="89"/>
      <c r="E79" s="89"/>
      <c r="F79" s="89"/>
      <c r="G79" s="87"/>
      <c r="H79" s="93" t="str">
        <f>IFERROR(LOOKUP(W79,$B$21:$C$33,$G$21:$G$33),"")</f>
        <v/>
      </c>
      <c r="I79" s="89" t="str">
        <f t="shared" si="26"/>
        <v/>
      </c>
      <c r="J79" s="24" t="e">
        <f>IF(I79=TRUE,"",LOOKUP(W79,$B$21:$C$33,$E$21:$E$33))</f>
        <v>#N/A</v>
      </c>
      <c r="K79" s="89" t="str">
        <f>IF(H79="","",IFERROR(LOOKUP(W79,$B$37:$C$46,$D$37:$D$46),0))</f>
        <v/>
      </c>
      <c r="L79" s="89" t="str">
        <f>IF(H79="","",COUNT($M$3:M79))</f>
        <v/>
      </c>
      <c r="M79" s="89" t="str">
        <f>IF(H79="","",IF(K79=K78,0,LOOKUP(W79,$B$37:$C$46,$D$37:$D$46)))</f>
        <v/>
      </c>
      <c r="N79" s="24" t="e">
        <f>IF(M79=0,"",VLOOKUP(W79,$B$35:$E$46,4,FALSE))</f>
        <v>#N/A</v>
      </c>
      <c r="O79" s="24" t="str">
        <f>IF(H79="","",IF(I79=TRUE,"",COUNTIF($I$2:I79,FALSE)+1))</f>
        <v/>
      </c>
      <c r="P79" s="89"/>
      <c r="Q79" s="87">
        <v>78</v>
      </c>
      <c r="R79" s="89">
        <f t="shared" si="27"/>
        <v>8</v>
      </c>
      <c r="S79" s="25" t="str">
        <f t="shared" si="25"/>
        <v>Year 8</v>
      </c>
      <c r="T79" s="89" t="str">
        <f>IF(Q79&lt;=$D$12,Q79,"")</f>
        <v/>
      </c>
      <c r="U79" s="89" t="str">
        <f t="shared" si="28"/>
        <v/>
      </c>
      <c r="V79" s="18" t="str">
        <f>IF(T79&lt;=$D$12,"Month "&amp;T79,"")</f>
        <v xml:space="preserve">Month </v>
      </c>
      <c r="W79" s="96">
        <f t="shared" si="29"/>
        <v>2371</v>
      </c>
      <c r="X79" s="89" t="str">
        <f>IFERROR(IF(I79=TRUE,ROUND(U79*H79,2)*(W79-W78),ROUND(U79*H78,2)*(LOOKUP(W78,$B$21:$C$33,$C$21:$C$33)-W78)+ROUND(U79*H79,2)*(W79-LOOKUP(W78,$B$21:$C$33,$C$21:$C$33))),"")</f>
        <v/>
      </c>
      <c r="Y79" s="89" t="str">
        <f>IFERROR(IF(U79&lt;Z78,U79,IF(T79=$D$12,U79,Z79-X79+M79)),"")</f>
        <v/>
      </c>
      <c r="Z79" s="89" t="str">
        <f>IF(U79="","",IF(AND(I79=FALSE,J79="No"),Z78,IF(AND(M78&lt;&gt;0,N78="Yes"),ROUND(-PMT(LOOKUP(W78,'Interest Rates'!$A$5:$A$302,'Interest Rates'!$D$5:$D$302)/12,($D$12-T79+1),U79),0),IF(I79=TRUE,Z78,ROUND(-PMT(VLOOKUP(O79,$A$14:$D$28,4,FALSE)/12,($D$12-T79+1),U79),0)))))</f>
        <v/>
      </c>
      <c r="AA79" s="89" t="str">
        <f t="shared" si="30"/>
        <v/>
      </c>
      <c r="AB79" s="89" t="str">
        <f t="shared" si="31"/>
        <v/>
      </c>
      <c r="AC79" s="89"/>
      <c r="AD79" s="9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104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>
        <v>2321</v>
      </c>
      <c r="BD79" s="105" t="s">
        <v>137</v>
      </c>
    </row>
    <row r="80" spans="2:56" x14ac:dyDescent="0.3">
      <c r="B80" s="89"/>
      <c r="C80" s="89"/>
      <c r="D80" s="89"/>
      <c r="E80" s="89"/>
      <c r="F80" s="89"/>
      <c r="G80" s="87"/>
      <c r="H80" s="93" t="str">
        <f>IFERROR(LOOKUP(W80,$B$21:$C$33,$G$21:$G$33),"")</f>
        <v/>
      </c>
      <c r="I80" s="89" t="str">
        <f t="shared" si="26"/>
        <v/>
      </c>
      <c r="J80" s="24" t="e">
        <f>IF(I80=TRUE,"",LOOKUP(W80,$B$21:$C$33,$E$21:$E$33))</f>
        <v>#N/A</v>
      </c>
      <c r="K80" s="89" t="str">
        <f>IF(H80="","",IFERROR(LOOKUP(W80,$B$37:$C$46,$D$37:$D$46),0))</f>
        <v/>
      </c>
      <c r="L80" s="89" t="str">
        <f>IF(H80="","",COUNT($M$3:M80))</f>
        <v/>
      </c>
      <c r="M80" s="89" t="str">
        <f>IF(H80="","",IF(K80=K79,0,LOOKUP(W80,$B$37:$C$46,$D$37:$D$46)))</f>
        <v/>
      </c>
      <c r="N80" s="24" t="e">
        <f>IF(M80=0,"",VLOOKUP(W80,$B$35:$E$46,4,FALSE))</f>
        <v>#N/A</v>
      </c>
      <c r="O80" s="24" t="str">
        <f>IF(H80="","",IF(I80=TRUE,"",COUNTIF($I$2:I80,FALSE)+1))</f>
        <v/>
      </c>
      <c r="P80" s="89"/>
      <c r="Q80" s="24">
        <v>79</v>
      </c>
      <c r="R80" s="89">
        <f t="shared" si="27"/>
        <v>8</v>
      </c>
      <c r="S80" s="25" t="str">
        <f t="shared" si="25"/>
        <v>Year 8</v>
      </c>
      <c r="T80" s="89" t="str">
        <f>IF(Q80&lt;=$D$12,Q80,"")</f>
        <v/>
      </c>
      <c r="U80" s="89" t="str">
        <f t="shared" si="28"/>
        <v/>
      </c>
      <c r="V80" s="18" t="str">
        <f>IF(T80&lt;=$D$12,"Month "&amp;T80,"")</f>
        <v xml:space="preserve">Month </v>
      </c>
      <c r="W80" s="96">
        <f t="shared" si="29"/>
        <v>2401</v>
      </c>
      <c r="X80" s="89" t="str">
        <f>IFERROR(IF(I80=TRUE,ROUND(U80*H80,2)*(W80-W79),ROUND(U80*H79,2)*(LOOKUP(W79,$B$21:$C$33,$C$21:$C$33)-W79)+ROUND(U80*H80,2)*(W80-LOOKUP(W79,$B$21:$C$33,$C$21:$C$33))),"")</f>
        <v/>
      </c>
      <c r="Y80" s="89" t="str">
        <f>IFERROR(IF(U80&lt;Z79,U80,IF(T80=$D$12,U80,Z80-X80+M80)),"")</f>
        <v/>
      </c>
      <c r="Z80" s="89" t="str">
        <f>IF(U80="","",IF(AND(I80=FALSE,J80="No"),Z79,IF(AND(M79&lt;&gt;0,N79="Yes"),ROUND(-PMT(LOOKUP(W79,'Interest Rates'!$A$5:$A$302,'Interest Rates'!$D$5:$D$302)/12,($D$12-T80+1),U80),0),IF(I80=TRUE,Z79,ROUND(-PMT(VLOOKUP(O80,$A$14:$D$28,4,FALSE)/12,($D$12-T80+1),U80),0)))))</f>
        <v/>
      </c>
      <c r="AA80" s="89" t="str">
        <f t="shared" si="30"/>
        <v/>
      </c>
      <c r="AB80" s="89" t="str">
        <f t="shared" si="31"/>
        <v/>
      </c>
      <c r="AC80" s="89"/>
      <c r="AD80" s="9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104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>
        <v>2322</v>
      </c>
      <c r="BD80" s="105" t="s">
        <v>138</v>
      </c>
    </row>
    <row r="81" spans="2:56" x14ac:dyDescent="0.3">
      <c r="B81" s="89"/>
      <c r="C81" s="89"/>
      <c r="D81" s="89"/>
      <c r="E81" s="89"/>
      <c r="F81" s="89"/>
      <c r="G81" s="87"/>
      <c r="H81" s="93" t="str">
        <f>IFERROR(LOOKUP(W81,$B$21:$C$33,$G$21:$G$33),"")</f>
        <v/>
      </c>
      <c r="I81" s="89" t="str">
        <f t="shared" si="26"/>
        <v/>
      </c>
      <c r="J81" s="24" t="e">
        <f>IF(I81=TRUE,"",LOOKUP(W81,$B$21:$C$33,$E$21:$E$33))</f>
        <v>#N/A</v>
      </c>
      <c r="K81" s="89" t="str">
        <f>IF(H81="","",IFERROR(LOOKUP(W81,$B$37:$C$46,$D$37:$D$46),0))</f>
        <v/>
      </c>
      <c r="L81" s="89" t="str">
        <f>IF(H81="","",COUNT($M$3:M81))</f>
        <v/>
      </c>
      <c r="M81" s="89" t="str">
        <f>IF(H81="","",IF(K81=K80,0,LOOKUP(W81,$B$37:$C$46,$D$37:$D$46)))</f>
        <v/>
      </c>
      <c r="N81" s="24" t="e">
        <f>IF(M81=0,"",VLOOKUP(W81,$B$35:$E$46,4,FALSE))</f>
        <v>#N/A</v>
      </c>
      <c r="O81" s="24" t="str">
        <f>IF(H81="","",IF(I81=TRUE,"",COUNTIF($I$2:I81,FALSE)+1))</f>
        <v/>
      </c>
      <c r="P81" s="89"/>
      <c r="Q81" s="87">
        <v>80</v>
      </c>
      <c r="R81" s="89">
        <f t="shared" si="27"/>
        <v>8</v>
      </c>
      <c r="S81" s="25" t="str">
        <f t="shared" si="25"/>
        <v>Year 8</v>
      </c>
      <c r="T81" s="89" t="str">
        <f>IF(Q81&lt;=$D$12,Q81,"")</f>
        <v/>
      </c>
      <c r="U81" s="89" t="str">
        <f t="shared" si="28"/>
        <v/>
      </c>
      <c r="V81" s="18" t="str">
        <f>IF(T81&lt;=$D$12,"Month "&amp;T81,"")</f>
        <v xml:space="preserve">Month </v>
      </c>
      <c r="W81" s="96">
        <f t="shared" si="29"/>
        <v>2432</v>
      </c>
      <c r="X81" s="89" t="str">
        <f>IFERROR(IF(I81=TRUE,ROUND(U81*H81,2)*(W81-W80),ROUND(U81*H80,2)*(LOOKUP(W80,$B$21:$C$33,$C$21:$C$33)-W80)+ROUND(U81*H81,2)*(W81-LOOKUP(W80,$B$21:$C$33,$C$21:$C$33))),"")</f>
        <v/>
      </c>
      <c r="Y81" s="89" t="str">
        <f>IFERROR(IF(U81&lt;Z80,U81,IF(T81=$D$12,U81,Z81-X81+M81)),"")</f>
        <v/>
      </c>
      <c r="Z81" s="89" t="str">
        <f>IF(U81="","",IF(AND(I81=FALSE,J81="No"),Z80,IF(AND(M80&lt;&gt;0,N80="Yes"),ROUND(-PMT(LOOKUP(W80,'Interest Rates'!$A$5:$A$302,'Interest Rates'!$D$5:$D$302)/12,($D$12-T81+1),U81),0),IF(I81=TRUE,Z80,ROUND(-PMT(VLOOKUP(O81,$A$14:$D$28,4,FALSE)/12,($D$12-T81+1),U81),0)))))</f>
        <v/>
      </c>
      <c r="AA81" s="89" t="str">
        <f t="shared" si="30"/>
        <v/>
      </c>
      <c r="AB81" s="89" t="str">
        <f t="shared" si="31"/>
        <v/>
      </c>
      <c r="AC81" s="89"/>
      <c r="AD81" s="9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104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>
        <v>2326</v>
      </c>
      <c r="BD81" s="105" t="s">
        <v>139</v>
      </c>
    </row>
    <row r="82" spans="2:56" x14ac:dyDescent="0.3">
      <c r="B82" s="89"/>
      <c r="C82" s="89"/>
      <c r="D82" s="89"/>
      <c r="E82" s="89"/>
      <c r="F82" s="89"/>
      <c r="G82" s="87"/>
      <c r="H82" s="93" t="str">
        <f>IFERROR(LOOKUP(W82,$B$21:$C$33,$G$21:$G$33),"")</f>
        <v/>
      </c>
      <c r="I82" s="89" t="str">
        <f t="shared" si="26"/>
        <v/>
      </c>
      <c r="J82" s="24" t="e">
        <f>IF(I82=TRUE,"",LOOKUP(W82,$B$21:$C$33,$E$21:$E$33))</f>
        <v>#N/A</v>
      </c>
      <c r="K82" s="89" t="str">
        <f>IF(H82="","",IFERROR(LOOKUP(W82,$B$37:$C$46,$D$37:$D$46),0))</f>
        <v/>
      </c>
      <c r="L82" s="89" t="str">
        <f>IF(H82="","",COUNT($M$3:M82))</f>
        <v/>
      </c>
      <c r="M82" s="89" t="str">
        <f>IF(H82="","",IF(K82=K81,0,LOOKUP(W82,$B$37:$C$46,$D$37:$D$46)))</f>
        <v/>
      </c>
      <c r="N82" s="24" t="e">
        <f>IF(M82=0,"",VLOOKUP(W82,$B$35:$E$46,4,FALSE))</f>
        <v>#N/A</v>
      </c>
      <c r="O82" s="24" t="str">
        <f>IF(H82="","",IF(I82=TRUE,"",COUNTIF($I$2:I82,FALSE)+1))</f>
        <v/>
      </c>
      <c r="P82" s="89"/>
      <c r="Q82" s="24">
        <v>81</v>
      </c>
      <c r="R82" s="89">
        <f t="shared" si="27"/>
        <v>8</v>
      </c>
      <c r="S82" s="25" t="str">
        <f t="shared" si="25"/>
        <v>Year 8</v>
      </c>
      <c r="T82" s="89" t="str">
        <f>IF(Q82&lt;=$D$12,Q82,"")</f>
        <v/>
      </c>
      <c r="U82" s="89" t="str">
        <f t="shared" si="28"/>
        <v/>
      </c>
      <c r="V82" s="18" t="str">
        <f>IF(T82&lt;=$D$12,"Month "&amp;T82,"")</f>
        <v xml:space="preserve">Month </v>
      </c>
      <c r="W82" s="96">
        <f t="shared" si="29"/>
        <v>2463</v>
      </c>
      <c r="X82" s="89" t="str">
        <f>IFERROR(IF(I82=TRUE,ROUND(U82*H82,2)*(W82-W81),ROUND(U82*H81,2)*(LOOKUP(W81,$B$21:$C$33,$C$21:$C$33)-W81)+ROUND(U82*H82,2)*(W82-LOOKUP(W81,$B$21:$C$33,$C$21:$C$33))),"")</f>
        <v/>
      </c>
      <c r="Y82" s="89" t="str">
        <f>IFERROR(IF(U82&lt;Z81,U82,IF(T82=$D$12,U82,Z82-X82+M82)),"")</f>
        <v/>
      </c>
      <c r="Z82" s="89" t="str">
        <f>IF(U82="","",IF(AND(I82=FALSE,J82="No"),Z81,IF(AND(M81&lt;&gt;0,N81="Yes"),ROUND(-PMT(LOOKUP(W81,'Interest Rates'!$A$5:$A$302,'Interest Rates'!$D$5:$D$302)/12,($D$12-T82+1),U82),0),IF(I82=TRUE,Z81,ROUND(-PMT(VLOOKUP(O82,$A$14:$D$28,4,FALSE)/12,($D$12-T82+1),U82),0)))))</f>
        <v/>
      </c>
      <c r="AA82" s="89" t="str">
        <f t="shared" si="30"/>
        <v/>
      </c>
      <c r="AB82" s="89" t="str">
        <f t="shared" si="31"/>
        <v/>
      </c>
      <c r="AC82" s="89"/>
      <c r="AD82" s="99"/>
      <c r="AE82" s="89"/>
      <c r="AF82" s="131" t="str">
        <f t="shared" ref="AF82:AF84" si="32">IF(AR39="","","Year "&amp;AR39)</f>
        <v/>
      </c>
      <c r="AG82" s="35" t="str">
        <f t="shared" ref="AG82:AG84" si="33">VLOOKUP(AR39,AR:AS,2,FALSE)</f>
        <v/>
      </c>
      <c r="AH82" s="83" t="str">
        <f t="shared" ref="AH82:AH84" si="34">IF(AF82="","",IF(AG82=MAX(W:W),"Final date",INDEX($U$2:$U$500,SUMPRODUCT(MAX(ROW($S$2:$S$500)*(AF82=$S$2:$S$500))-1))))</f>
        <v/>
      </c>
      <c r="AI82" s="89"/>
      <c r="AJ82" s="89"/>
      <c r="AK82" s="89"/>
      <c r="AL82" s="89"/>
      <c r="AM82" s="89"/>
      <c r="AN82" s="89"/>
      <c r="AO82" s="89"/>
      <c r="AP82" s="89"/>
      <c r="AQ82" s="89"/>
      <c r="AR82" s="104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>
        <v>2328</v>
      </c>
      <c r="BD82" s="105" t="s">
        <v>140</v>
      </c>
    </row>
    <row r="83" spans="2:56" x14ac:dyDescent="0.3">
      <c r="B83" s="89"/>
      <c r="C83" s="89"/>
      <c r="D83" s="89"/>
      <c r="E83" s="89"/>
      <c r="F83" s="89"/>
      <c r="G83" s="87"/>
      <c r="H83" s="93" t="str">
        <f>IFERROR(LOOKUP(W83,$B$21:$C$33,$G$21:$G$33),"")</f>
        <v/>
      </c>
      <c r="I83" s="89" t="str">
        <f t="shared" si="26"/>
        <v/>
      </c>
      <c r="J83" s="24" t="e">
        <f>IF(I83=TRUE,"",LOOKUP(W83,$B$21:$C$33,$E$21:$E$33))</f>
        <v>#N/A</v>
      </c>
      <c r="K83" s="89" t="str">
        <f>IF(H83="","",IFERROR(LOOKUP(W83,$B$37:$C$46,$D$37:$D$46),0))</f>
        <v/>
      </c>
      <c r="L83" s="89" t="str">
        <f>IF(H83="","",COUNT($M$3:M83))</f>
        <v/>
      </c>
      <c r="M83" s="89" t="str">
        <f>IF(H83="","",IF(K83=K82,0,LOOKUP(W83,$B$37:$C$46,$D$37:$D$46)))</f>
        <v/>
      </c>
      <c r="N83" s="24" t="e">
        <f>IF(M83=0,"",VLOOKUP(W83,$B$35:$E$46,4,FALSE))</f>
        <v>#N/A</v>
      </c>
      <c r="O83" s="24" t="str">
        <f>IF(H83="","",IF(I83=TRUE,"",COUNTIF($I$2:I83,FALSE)+1))</f>
        <v/>
      </c>
      <c r="P83" s="89"/>
      <c r="Q83" s="87">
        <v>82</v>
      </c>
      <c r="R83" s="89">
        <f t="shared" si="27"/>
        <v>8</v>
      </c>
      <c r="S83" s="25" t="str">
        <f t="shared" si="25"/>
        <v>Year 8</v>
      </c>
      <c r="T83" s="89" t="str">
        <f>IF(Q83&lt;=$D$12,Q83,"")</f>
        <v/>
      </c>
      <c r="U83" s="89" t="str">
        <f t="shared" si="28"/>
        <v/>
      </c>
      <c r="V83" s="18" t="str">
        <f>IF(T83&lt;=$D$12,"Month "&amp;T83,"")</f>
        <v xml:space="preserve">Month </v>
      </c>
      <c r="W83" s="96">
        <f t="shared" si="29"/>
        <v>2493</v>
      </c>
      <c r="X83" s="89" t="str">
        <f>IFERROR(IF(I83=TRUE,ROUND(U83*H83,2)*(W83-W82),ROUND(U83*H82,2)*(LOOKUP(W82,$B$21:$C$33,$C$21:$C$33)-W82)+ROUND(U83*H83,2)*(W83-LOOKUP(W82,$B$21:$C$33,$C$21:$C$33))),"")</f>
        <v/>
      </c>
      <c r="Y83" s="89" t="str">
        <f>IFERROR(IF(U83&lt;Z82,U83,IF(T83=$D$12,U83,Z83-X83+M83)),"")</f>
        <v/>
      </c>
      <c r="Z83" s="89" t="str">
        <f>IF(U83="","",IF(AND(I83=FALSE,J83="No"),Z82,IF(AND(M82&lt;&gt;0,N82="Yes"),ROUND(-PMT(LOOKUP(W82,'Interest Rates'!$A$5:$A$302,'Interest Rates'!$D$5:$D$302)/12,($D$12-T83+1),U83),0),IF(I83=TRUE,Z82,ROUND(-PMT(VLOOKUP(O83,$A$14:$D$28,4,FALSE)/12,($D$12-T83+1),U83),0)))))</f>
        <v/>
      </c>
      <c r="AA83" s="89" t="str">
        <f t="shared" si="30"/>
        <v/>
      </c>
      <c r="AB83" s="89" t="str">
        <f t="shared" si="31"/>
        <v/>
      </c>
      <c r="AC83" s="89"/>
      <c r="AD83" s="99"/>
      <c r="AE83" s="89"/>
      <c r="AF83" s="131" t="str">
        <f t="shared" si="32"/>
        <v/>
      </c>
      <c r="AG83" s="35" t="str">
        <f t="shared" si="33"/>
        <v/>
      </c>
      <c r="AH83" s="83" t="str">
        <f t="shared" si="34"/>
        <v/>
      </c>
      <c r="AI83" s="89"/>
      <c r="AJ83" s="89"/>
      <c r="AK83" s="89"/>
      <c r="AL83" s="89"/>
      <c r="AM83" s="89"/>
      <c r="AN83" s="89"/>
      <c r="AO83" s="89"/>
      <c r="AP83" s="89"/>
      <c r="AQ83" s="89"/>
      <c r="AR83" s="104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>
        <v>2329</v>
      </c>
      <c r="BD83" s="105" t="s">
        <v>141</v>
      </c>
    </row>
    <row r="84" spans="2:56" x14ac:dyDescent="0.3">
      <c r="B84" s="89"/>
      <c r="C84" s="89"/>
      <c r="D84" s="89"/>
      <c r="E84" s="89"/>
      <c r="F84" s="89"/>
      <c r="G84" s="87"/>
      <c r="H84" s="93" t="str">
        <f>IFERROR(LOOKUP(W84,$B$21:$C$33,$G$21:$G$33),"")</f>
        <v/>
      </c>
      <c r="I84" s="89" t="str">
        <f t="shared" si="26"/>
        <v/>
      </c>
      <c r="J84" s="24" t="e">
        <f>IF(I84=TRUE,"",LOOKUP(W84,$B$21:$C$33,$E$21:$E$33))</f>
        <v>#N/A</v>
      </c>
      <c r="K84" s="89" t="str">
        <f>IF(H84="","",IFERROR(LOOKUP(W84,$B$37:$C$46,$D$37:$D$46),0))</f>
        <v/>
      </c>
      <c r="L84" s="89" t="str">
        <f>IF(H84="","",COUNT($M$3:M84))</f>
        <v/>
      </c>
      <c r="M84" s="89" t="str">
        <f>IF(H84="","",IF(K84=K83,0,LOOKUP(W84,$B$37:$C$46,$D$37:$D$46)))</f>
        <v/>
      </c>
      <c r="N84" s="24" t="e">
        <f>IF(M84=0,"",VLOOKUP(W84,$B$35:$E$46,4,FALSE))</f>
        <v>#N/A</v>
      </c>
      <c r="O84" s="24" t="str">
        <f>IF(H84="","",IF(I84=TRUE,"",COUNTIF($I$2:I84,FALSE)+1))</f>
        <v/>
      </c>
      <c r="P84" s="89"/>
      <c r="Q84" s="24">
        <v>83</v>
      </c>
      <c r="R84" s="89">
        <f t="shared" si="27"/>
        <v>8</v>
      </c>
      <c r="S84" s="25" t="str">
        <f t="shared" si="25"/>
        <v>Year 8</v>
      </c>
      <c r="T84" s="89" t="str">
        <f>IF(Q84&lt;=$D$12,Q84,"")</f>
        <v/>
      </c>
      <c r="U84" s="89" t="str">
        <f t="shared" si="28"/>
        <v/>
      </c>
      <c r="V84" s="18" t="str">
        <f>IF(T84&lt;=$D$12,"Month "&amp;T84,"")</f>
        <v xml:space="preserve">Month </v>
      </c>
      <c r="W84" s="96">
        <f t="shared" si="29"/>
        <v>2524</v>
      </c>
      <c r="X84" s="89" t="str">
        <f>IFERROR(IF(I84=TRUE,ROUND(U84*H84,2)*(W84-W83),ROUND(U84*H83,2)*(LOOKUP(W83,$B$21:$C$33,$C$21:$C$33)-W83)+ROUND(U84*H84,2)*(W84-LOOKUP(W83,$B$21:$C$33,$C$21:$C$33))),"")</f>
        <v/>
      </c>
      <c r="Y84" s="89" t="str">
        <f>IFERROR(IF(U84&lt;Z83,U84,IF(T84=$D$12,U84,Z84-X84+M84)),"")</f>
        <v/>
      </c>
      <c r="Z84" s="89" t="str">
        <f>IF(U84="","",IF(AND(I84=FALSE,J84="No"),Z83,IF(AND(M83&lt;&gt;0,N83="Yes"),ROUND(-PMT(LOOKUP(W83,'Interest Rates'!$A$5:$A$302,'Interest Rates'!$D$5:$D$302)/12,($D$12-T84+1),U84),0),IF(I84=TRUE,Z83,ROUND(-PMT(VLOOKUP(O84,$A$14:$D$28,4,FALSE)/12,($D$12-T84+1),U84),0)))))</f>
        <v/>
      </c>
      <c r="AA84" s="89" t="str">
        <f t="shared" si="30"/>
        <v/>
      </c>
      <c r="AB84" s="89" t="str">
        <f t="shared" si="31"/>
        <v/>
      </c>
      <c r="AC84" s="89"/>
      <c r="AD84" s="99"/>
      <c r="AE84" s="89"/>
      <c r="AF84" s="131" t="str">
        <f t="shared" si="32"/>
        <v/>
      </c>
      <c r="AG84" s="35" t="str">
        <f t="shared" si="33"/>
        <v/>
      </c>
      <c r="AH84" s="83" t="str">
        <f t="shared" si="34"/>
        <v/>
      </c>
      <c r="AI84" s="89"/>
      <c r="AJ84" s="89"/>
      <c r="AK84" s="89"/>
      <c r="AL84" s="89"/>
      <c r="AM84" s="89"/>
      <c r="AN84" s="89"/>
      <c r="AO84" s="89"/>
      <c r="AP84" s="89"/>
      <c r="AQ84" s="89"/>
      <c r="AR84" s="104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>
        <v>2337</v>
      </c>
      <c r="BD84" s="105" t="s">
        <v>251</v>
      </c>
    </row>
    <row r="85" spans="2:56" x14ac:dyDescent="0.3">
      <c r="B85" s="89"/>
      <c r="C85" s="89"/>
      <c r="D85" s="89"/>
      <c r="E85" s="89"/>
      <c r="F85" s="89"/>
      <c r="G85" s="87"/>
      <c r="H85" s="93" t="str">
        <f>IFERROR(LOOKUP(W85,$B$21:$C$33,$G$21:$G$33),"")</f>
        <v/>
      </c>
      <c r="I85" s="89" t="str">
        <f t="shared" si="26"/>
        <v/>
      </c>
      <c r="J85" s="24" t="e">
        <f>IF(I85=TRUE,"",LOOKUP(W85,$B$21:$C$33,$E$21:$E$33))</f>
        <v>#N/A</v>
      </c>
      <c r="K85" s="89" t="str">
        <f>IF(H85="","",IFERROR(LOOKUP(W85,$B$37:$C$46,$D$37:$D$46),0))</f>
        <v/>
      </c>
      <c r="L85" s="89" t="str">
        <f>IF(H85="","",COUNT($M$3:M85))</f>
        <v/>
      </c>
      <c r="M85" s="89" t="str">
        <f>IF(H85="","",IF(K85=K84,0,LOOKUP(W85,$B$37:$C$46,$D$37:$D$46)))</f>
        <v/>
      </c>
      <c r="N85" s="24" t="e">
        <f>IF(M85=0,"",VLOOKUP(W85,$B$35:$E$46,4,FALSE))</f>
        <v>#N/A</v>
      </c>
      <c r="O85" s="24" t="str">
        <f>IF(H85="","",IF(I85=TRUE,"",COUNTIF($I$2:I85,FALSE)+1))</f>
        <v/>
      </c>
      <c r="P85" s="89"/>
      <c r="Q85" s="87">
        <v>84</v>
      </c>
      <c r="R85" s="89">
        <f t="shared" si="27"/>
        <v>8</v>
      </c>
      <c r="S85" s="25" t="str">
        <f t="shared" si="25"/>
        <v>Year 8</v>
      </c>
      <c r="T85" s="89" t="str">
        <f>IF(Q85&lt;=$D$12,Q85,"")</f>
        <v/>
      </c>
      <c r="U85" s="89" t="str">
        <f t="shared" si="28"/>
        <v/>
      </c>
      <c r="V85" s="18" t="str">
        <f>IF(T85&lt;=$D$12,"Month "&amp;T85,"")</f>
        <v xml:space="preserve">Month </v>
      </c>
      <c r="W85" s="96">
        <f t="shared" si="29"/>
        <v>2554</v>
      </c>
      <c r="X85" s="89" t="str">
        <f>IFERROR(IF(I85=TRUE,ROUND(U85*H85,2)*(W85-W84),ROUND(U85*H84,2)*(LOOKUP(W84,$B$21:$C$33,$C$21:$C$33)-W84)+ROUND(U85*H85,2)*(W85-LOOKUP(W84,$B$21:$C$33,$C$21:$C$33))),"")</f>
        <v/>
      </c>
      <c r="Y85" s="89" t="str">
        <f>IFERROR(IF(U85&lt;Z84,U85,IF(T85=$D$12,U85,Z85-X85+M85)),"")</f>
        <v/>
      </c>
      <c r="Z85" s="89" t="str">
        <f>IF(U85="","",IF(AND(I85=FALSE,J85="No"),Z84,IF(AND(M84&lt;&gt;0,N84="Yes"),ROUND(-PMT(LOOKUP(W84,'Interest Rates'!$A$5:$A$302,'Interest Rates'!$D$5:$D$302)/12,($D$12-T85+1),U85),0),IF(I85=TRUE,Z84,ROUND(-PMT(VLOOKUP(O85,$A$14:$D$28,4,FALSE)/12,($D$12-T85+1),U85),0)))))</f>
        <v/>
      </c>
      <c r="AA85" s="89" t="str">
        <f t="shared" si="30"/>
        <v/>
      </c>
      <c r="AB85" s="89" t="str">
        <f t="shared" si="31"/>
        <v/>
      </c>
      <c r="AC85" s="89"/>
      <c r="AD85" s="99"/>
      <c r="AE85" s="89"/>
      <c r="AF85" s="131"/>
      <c r="AG85" s="35"/>
      <c r="AH85" s="38"/>
      <c r="AI85" s="89"/>
      <c r="AJ85" s="89"/>
      <c r="AK85" s="89"/>
      <c r="AL85" s="89"/>
      <c r="AM85" s="89"/>
      <c r="AN85" s="89"/>
      <c r="AO85" s="89"/>
      <c r="AP85" s="89"/>
      <c r="AQ85" s="89"/>
      <c r="AR85" s="104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>
        <v>2340</v>
      </c>
      <c r="BD85" s="105" t="s">
        <v>142</v>
      </c>
    </row>
    <row r="86" spans="2:56" x14ac:dyDescent="0.3">
      <c r="B86" s="89"/>
      <c r="C86" s="89"/>
      <c r="D86" s="89"/>
      <c r="E86" s="89"/>
      <c r="F86" s="89"/>
      <c r="G86" s="87"/>
      <c r="H86" s="93" t="str">
        <f>IFERROR(LOOKUP(W86,$B$21:$C$33,$G$21:$G$33),"")</f>
        <v/>
      </c>
      <c r="I86" s="89" t="str">
        <f t="shared" si="26"/>
        <v/>
      </c>
      <c r="J86" s="24" t="e">
        <f>IF(I86=TRUE,"",LOOKUP(W86,$B$21:$C$33,$E$21:$E$33))</f>
        <v>#N/A</v>
      </c>
      <c r="K86" s="89" t="str">
        <f>IF(H86="","",IFERROR(LOOKUP(W86,$B$37:$C$46,$D$37:$D$46),0))</f>
        <v/>
      </c>
      <c r="L86" s="89" t="str">
        <f>IF(H86="","",COUNT($M$3:M86))</f>
        <v/>
      </c>
      <c r="M86" s="89" t="str">
        <f>IF(H86="","",IF(K86=K85,0,LOOKUP(W86,$B$37:$C$46,$D$37:$D$46)))</f>
        <v/>
      </c>
      <c r="N86" s="24" t="e">
        <f>IF(M86=0,"",VLOOKUP(W86,$B$35:$E$46,4,FALSE))</f>
        <v>#N/A</v>
      </c>
      <c r="O86" s="24" t="str">
        <f>IF(H86="","",IF(I86=TRUE,"",COUNTIF($I$2:I86,FALSE)+1))</f>
        <v/>
      </c>
      <c r="P86" s="89"/>
      <c r="Q86" s="24">
        <v>85</v>
      </c>
      <c r="R86" s="89">
        <f t="shared" si="27"/>
        <v>8</v>
      </c>
      <c r="S86" s="25" t="str">
        <f t="shared" si="25"/>
        <v>Year 8</v>
      </c>
      <c r="T86" s="89" t="str">
        <f>IF(Q86&lt;=$D$12,Q86,"")</f>
        <v/>
      </c>
      <c r="U86" s="89" t="str">
        <f t="shared" si="28"/>
        <v/>
      </c>
      <c r="V86" s="18" t="str">
        <f>IF(T86&lt;=$D$12,"Month "&amp;T86,"")</f>
        <v xml:space="preserve">Month </v>
      </c>
      <c r="W86" s="96">
        <f t="shared" si="29"/>
        <v>2585</v>
      </c>
      <c r="X86" s="89" t="str">
        <f>IFERROR(IF(I86=TRUE,ROUND(U86*H86,2)*(W86-W85),ROUND(U86*H85,2)*(LOOKUP(W85,$B$21:$C$33,$C$21:$C$33)-W85)+ROUND(U86*H86,2)*(W86-LOOKUP(W85,$B$21:$C$33,$C$21:$C$33))),"")</f>
        <v/>
      </c>
      <c r="Y86" s="89" t="str">
        <f>IFERROR(IF(U86&lt;Z85,U86,IF(T86=$D$12,U86,Z86-X86+M86)),"")</f>
        <v/>
      </c>
      <c r="Z86" s="89" t="str">
        <f>IF(U86="","",IF(AND(I86=FALSE,J86="No"),Z85,IF(AND(M85&lt;&gt;0,N85="Yes"),ROUND(-PMT(LOOKUP(W85,'Interest Rates'!$A$5:$A$302,'Interest Rates'!$D$5:$D$302)/12,($D$12-T86+1),U86),0),IF(I86=TRUE,Z85,ROUND(-PMT(VLOOKUP(O86,$A$14:$D$28,4,FALSE)/12,($D$12-T86+1),U86),0)))))</f>
        <v/>
      </c>
      <c r="AA86" s="89" t="str">
        <f t="shared" si="30"/>
        <v/>
      </c>
      <c r="AB86" s="89" t="str">
        <f t="shared" si="31"/>
        <v/>
      </c>
      <c r="AC86" s="89"/>
      <c r="AD86" s="99"/>
      <c r="AE86" s="89"/>
      <c r="AF86" s="131"/>
      <c r="AG86" s="35"/>
      <c r="AH86" s="38"/>
      <c r="AI86" s="89"/>
      <c r="AJ86" s="89"/>
      <c r="AK86" s="89"/>
      <c r="AL86" s="89"/>
      <c r="AM86" s="89"/>
      <c r="AN86" s="89"/>
      <c r="AO86" s="89"/>
      <c r="AP86" s="89"/>
      <c r="AQ86" s="89"/>
      <c r="AR86" s="104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>
        <v>2345</v>
      </c>
      <c r="BD86" s="105" t="s">
        <v>143</v>
      </c>
    </row>
    <row r="87" spans="2:56" x14ac:dyDescent="0.3">
      <c r="B87" s="89"/>
      <c r="C87" s="89"/>
      <c r="D87" s="89"/>
      <c r="E87" s="89"/>
      <c r="F87" s="89"/>
      <c r="G87" s="87"/>
      <c r="H87" s="93" t="str">
        <f>IFERROR(LOOKUP(W87,$B$21:$C$33,$G$21:$G$33),"")</f>
        <v/>
      </c>
      <c r="I87" s="89" t="str">
        <f t="shared" si="26"/>
        <v/>
      </c>
      <c r="J87" s="24" t="e">
        <f>IF(I87=TRUE,"",LOOKUP(W87,$B$21:$C$33,$E$21:$E$33))</f>
        <v>#N/A</v>
      </c>
      <c r="K87" s="89" t="str">
        <f>IF(H87="","",IFERROR(LOOKUP(W87,$B$37:$C$46,$D$37:$D$46),0))</f>
        <v/>
      </c>
      <c r="L87" s="89" t="str">
        <f>IF(H87="","",COUNT($M$3:M87))</f>
        <v/>
      </c>
      <c r="M87" s="89" t="str">
        <f>IF(H87="","",IF(K87=K86,0,LOOKUP(W87,$B$37:$C$46,$D$37:$D$46)))</f>
        <v/>
      </c>
      <c r="N87" s="24" t="e">
        <f>IF(M87=0,"",VLOOKUP(W87,$B$35:$E$46,4,FALSE))</f>
        <v>#N/A</v>
      </c>
      <c r="O87" s="24" t="str">
        <f>IF(H87="","",IF(I87=TRUE,"",COUNTIF($I$2:I87,FALSE)+1))</f>
        <v/>
      </c>
      <c r="P87" s="89"/>
      <c r="Q87" s="87">
        <v>86</v>
      </c>
      <c r="R87" s="89">
        <f t="shared" si="27"/>
        <v>8</v>
      </c>
      <c r="S87" s="25" t="str">
        <f t="shared" si="25"/>
        <v>Year 8</v>
      </c>
      <c r="T87" s="89" t="str">
        <f>IF(Q87&lt;=$D$12,Q87,"")</f>
        <v/>
      </c>
      <c r="U87" s="89" t="str">
        <f t="shared" si="28"/>
        <v/>
      </c>
      <c r="V87" s="18" t="str">
        <f>IF(T87&lt;=$D$12,"Month "&amp;T87,"")</f>
        <v xml:space="preserve">Month </v>
      </c>
      <c r="W87" s="96">
        <f t="shared" si="29"/>
        <v>2616</v>
      </c>
      <c r="X87" s="89" t="str">
        <f>IFERROR(IF(I87=TRUE,ROUND(U87*H87,2)*(W87-W86),ROUND(U87*H86,2)*(LOOKUP(W86,$B$21:$C$33,$C$21:$C$33)-W86)+ROUND(U87*H87,2)*(W87-LOOKUP(W86,$B$21:$C$33,$C$21:$C$33))),"")</f>
        <v/>
      </c>
      <c r="Y87" s="89" t="str">
        <f>IFERROR(IF(U87&lt;Z86,U87,IF(T87=$D$12,U87,Z87-X87+M87)),"")</f>
        <v/>
      </c>
      <c r="Z87" s="89" t="str">
        <f>IF(U87="","",IF(AND(I87=FALSE,J87="No"),Z86,IF(AND(M86&lt;&gt;0,N86="Yes"),ROUND(-PMT(LOOKUP(W86,'Interest Rates'!$A$5:$A$302,'Interest Rates'!$D$5:$D$302)/12,($D$12-T87+1),U87),0),IF(I87=TRUE,Z86,ROUND(-PMT(VLOOKUP(O87,$A$14:$D$28,4,FALSE)/12,($D$12-T87+1),U87),0)))))</f>
        <v/>
      </c>
      <c r="AA87" s="89" t="str">
        <f t="shared" si="30"/>
        <v/>
      </c>
      <c r="AB87" s="89" t="str">
        <f t="shared" si="31"/>
        <v/>
      </c>
      <c r="AC87" s="89"/>
      <c r="AD87" s="99"/>
      <c r="AE87" s="89"/>
      <c r="AF87" s="131"/>
      <c r="AG87" s="35"/>
      <c r="AH87" s="38"/>
      <c r="AI87" s="89"/>
      <c r="AJ87" s="89"/>
      <c r="AK87" s="89"/>
      <c r="AL87" s="89"/>
      <c r="AM87" s="89"/>
      <c r="AN87" s="89"/>
      <c r="AO87" s="89"/>
      <c r="AP87" s="89"/>
      <c r="AQ87" s="89"/>
      <c r="AR87" s="104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>
        <v>2431</v>
      </c>
      <c r="BD87" s="105" t="s">
        <v>144</v>
      </c>
    </row>
    <row r="88" spans="2:56" x14ac:dyDescent="0.3">
      <c r="B88" s="89"/>
      <c r="C88" s="89"/>
      <c r="D88" s="89"/>
      <c r="E88" s="89"/>
      <c r="F88" s="89"/>
      <c r="G88" s="87"/>
      <c r="H88" s="93" t="str">
        <f>IFERROR(LOOKUP(W88,$B$21:$C$33,$G$21:$G$33),"")</f>
        <v/>
      </c>
      <c r="I88" s="89" t="str">
        <f t="shared" si="26"/>
        <v/>
      </c>
      <c r="J88" s="24" t="e">
        <f>IF(I88=TRUE,"",LOOKUP(W88,$B$21:$C$33,$E$21:$E$33))</f>
        <v>#N/A</v>
      </c>
      <c r="K88" s="89" t="str">
        <f>IF(H88="","",IFERROR(LOOKUP(W88,$B$37:$C$46,$D$37:$D$46),0))</f>
        <v/>
      </c>
      <c r="L88" s="89" t="str">
        <f>IF(H88="","",COUNT($M$3:M88))</f>
        <v/>
      </c>
      <c r="M88" s="89" t="str">
        <f>IF(H88="","",IF(K88=K87,0,LOOKUP(W88,$B$37:$C$46,$D$37:$D$46)))</f>
        <v/>
      </c>
      <c r="N88" s="24" t="e">
        <f>IF(M88=0,"",VLOOKUP(W88,$B$35:$E$46,4,FALSE))</f>
        <v>#N/A</v>
      </c>
      <c r="O88" s="24" t="str">
        <f>IF(H88="","",IF(I88=TRUE,"",COUNTIF($I$2:I88,FALSE)+1))</f>
        <v/>
      </c>
      <c r="P88" s="89"/>
      <c r="Q88" s="24">
        <v>87</v>
      </c>
      <c r="R88" s="89">
        <f t="shared" si="27"/>
        <v>8</v>
      </c>
      <c r="S88" s="25" t="str">
        <f t="shared" si="25"/>
        <v>Year 8</v>
      </c>
      <c r="T88" s="89" t="str">
        <f>IF(Q88&lt;=$D$12,Q88,"")</f>
        <v/>
      </c>
      <c r="U88" s="89" t="str">
        <f t="shared" si="28"/>
        <v/>
      </c>
      <c r="V88" s="18" t="str">
        <f>IF(T88&lt;=$D$12,"Month "&amp;T88,"")</f>
        <v xml:space="preserve">Month </v>
      </c>
      <c r="W88" s="96">
        <f t="shared" si="29"/>
        <v>2644</v>
      </c>
      <c r="X88" s="89" t="str">
        <f>IFERROR(IF(I88=TRUE,ROUND(U88*H88,2)*(W88-W87),ROUND(U88*H87,2)*(LOOKUP(W87,$B$21:$C$33,$C$21:$C$33)-W87)+ROUND(U88*H88,2)*(W88-LOOKUP(W87,$B$21:$C$33,$C$21:$C$33))),"")</f>
        <v/>
      </c>
      <c r="Y88" s="89" t="str">
        <f>IFERROR(IF(U88&lt;Z87,U88,IF(T88=$D$12,U88,Z88-X88+M88)),"")</f>
        <v/>
      </c>
      <c r="Z88" s="89" t="str">
        <f>IF(U88="","",IF(AND(I88=FALSE,J88="No"),Z87,IF(AND(M87&lt;&gt;0,N87="Yes"),ROUND(-PMT(LOOKUP(W87,'Interest Rates'!$A$5:$A$302,'Interest Rates'!$D$5:$D$302)/12,($D$12-T88+1),U88),0),IF(I88=TRUE,Z87,ROUND(-PMT(VLOOKUP(O88,$A$14:$D$28,4,FALSE)/12,($D$12-T88+1),U88),0)))))</f>
        <v/>
      </c>
      <c r="AA88" s="89" t="str">
        <f t="shared" si="30"/>
        <v/>
      </c>
      <c r="AB88" s="89" t="str">
        <f t="shared" si="31"/>
        <v/>
      </c>
      <c r="AC88" s="89"/>
      <c r="AD88" s="99"/>
      <c r="AE88" s="89"/>
      <c r="AF88" s="131"/>
      <c r="AG88" s="35"/>
      <c r="AH88" s="38"/>
      <c r="AI88" s="89"/>
      <c r="AJ88" s="89"/>
      <c r="AK88" s="89"/>
      <c r="AL88" s="89"/>
      <c r="AM88" s="89"/>
      <c r="AN88" s="89"/>
      <c r="AO88" s="89"/>
      <c r="AP88" s="89"/>
      <c r="AQ88" s="89"/>
      <c r="AR88" s="104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>
        <v>2434</v>
      </c>
      <c r="BD88" s="105" t="s">
        <v>145</v>
      </c>
    </row>
    <row r="89" spans="2:56" x14ac:dyDescent="0.3">
      <c r="B89" s="89"/>
      <c r="C89" s="89"/>
      <c r="D89" s="89"/>
      <c r="E89" s="89"/>
      <c r="F89" s="89"/>
      <c r="G89" s="87"/>
      <c r="H89" s="93" t="str">
        <f>IFERROR(LOOKUP(W89,$B$21:$C$33,$G$21:$G$33),"")</f>
        <v/>
      </c>
      <c r="I89" s="89" t="str">
        <f t="shared" si="26"/>
        <v/>
      </c>
      <c r="J89" s="24" t="e">
        <f>IF(I89=TRUE,"",LOOKUP(W89,$B$21:$C$33,$E$21:$E$33))</f>
        <v>#N/A</v>
      </c>
      <c r="K89" s="89" t="str">
        <f>IF(H89="","",IFERROR(LOOKUP(W89,$B$37:$C$46,$D$37:$D$46),0))</f>
        <v/>
      </c>
      <c r="L89" s="89" t="str">
        <f>IF(H89="","",COUNT($M$3:M89))</f>
        <v/>
      </c>
      <c r="M89" s="89" t="str">
        <f>IF(H89="","",IF(K89=K88,0,LOOKUP(W89,$B$37:$C$46,$D$37:$D$46)))</f>
        <v/>
      </c>
      <c r="N89" s="24" t="e">
        <f>IF(M89=0,"",VLOOKUP(W89,$B$35:$E$46,4,FALSE))</f>
        <v>#N/A</v>
      </c>
      <c r="O89" s="24" t="str">
        <f>IF(H89="","",IF(I89=TRUE,"",COUNTIF($I$2:I89,FALSE)+1))</f>
        <v/>
      </c>
      <c r="P89" s="89"/>
      <c r="Q89" s="87">
        <v>88</v>
      </c>
      <c r="R89" s="89">
        <f t="shared" si="27"/>
        <v>9</v>
      </c>
      <c r="S89" s="25" t="str">
        <f t="shared" si="25"/>
        <v>Year 9</v>
      </c>
      <c r="T89" s="89" t="str">
        <f>IF(Q89&lt;=$D$12,Q89,"")</f>
        <v/>
      </c>
      <c r="U89" s="89" t="str">
        <f t="shared" si="28"/>
        <v/>
      </c>
      <c r="V89" s="18" t="str">
        <f>IF(T89&lt;=$D$12,"Month "&amp;T89,"")</f>
        <v xml:space="preserve">Month </v>
      </c>
      <c r="W89" s="96">
        <f t="shared" si="29"/>
        <v>2675</v>
      </c>
      <c r="X89" s="89" t="str">
        <f>IFERROR(IF(I89=TRUE,ROUND(U89*H89,2)*(W89-W88),ROUND(U89*H88,2)*(LOOKUP(W88,$B$21:$C$33,$C$21:$C$33)-W88)+ROUND(U89*H89,2)*(W89-LOOKUP(W88,$B$21:$C$33,$C$21:$C$33))),"")</f>
        <v/>
      </c>
      <c r="Y89" s="89" t="str">
        <f>IFERROR(IF(U89&lt;Z88,U89,IF(T89=$D$12,U89,Z89-X89+M89)),"")</f>
        <v/>
      </c>
      <c r="Z89" s="89" t="str">
        <f>IF(U89="","",IF(AND(I89=FALSE,J89="No"),Z88,IF(AND(M88&lt;&gt;0,N88="Yes"),ROUND(-PMT(LOOKUP(W88,'Interest Rates'!$A$5:$A$302,'Interest Rates'!$D$5:$D$302)/12,($D$12-T89+1),U89),0),IF(I89=TRUE,Z88,ROUND(-PMT(VLOOKUP(O89,$A$14:$D$28,4,FALSE)/12,($D$12-T89+1),U89),0)))))</f>
        <v/>
      </c>
      <c r="AA89" s="89" t="str">
        <f t="shared" si="30"/>
        <v/>
      </c>
      <c r="AB89" s="89" t="str">
        <f t="shared" si="31"/>
        <v/>
      </c>
      <c r="AC89" s="89"/>
      <c r="AD89" s="99"/>
      <c r="AE89" s="89"/>
      <c r="AF89" s="131"/>
      <c r="AG89" s="35"/>
      <c r="AH89" s="38"/>
      <c r="AI89" s="89"/>
      <c r="AJ89" s="89"/>
      <c r="AK89" s="89"/>
      <c r="AL89" s="89"/>
      <c r="AM89" s="89"/>
      <c r="AN89" s="89"/>
      <c r="AO89" s="89"/>
      <c r="AP89" s="89"/>
      <c r="AQ89" s="89"/>
      <c r="AR89" s="104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>
        <v>2454</v>
      </c>
      <c r="BD89" s="105" t="s">
        <v>146</v>
      </c>
    </row>
    <row r="90" spans="2:56" x14ac:dyDescent="0.3">
      <c r="B90" s="89"/>
      <c r="C90" s="89"/>
      <c r="D90" s="89"/>
      <c r="E90" s="89"/>
      <c r="F90" s="89"/>
      <c r="G90" s="87"/>
      <c r="H90" s="93" t="str">
        <f>IFERROR(LOOKUP(W90,$B$21:$C$33,$G$21:$G$33),"")</f>
        <v/>
      </c>
      <c r="I90" s="89" t="str">
        <f t="shared" si="26"/>
        <v/>
      </c>
      <c r="J90" s="24" t="e">
        <f>IF(I90=TRUE,"",LOOKUP(W90,$B$21:$C$33,$E$21:$E$33))</f>
        <v>#N/A</v>
      </c>
      <c r="K90" s="89" t="str">
        <f>IF(H90="","",IFERROR(LOOKUP(W90,$B$37:$C$46,$D$37:$D$46),0))</f>
        <v/>
      </c>
      <c r="L90" s="89" t="str">
        <f>IF(H90="","",COUNT($M$3:M90))</f>
        <v/>
      </c>
      <c r="M90" s="89" t="str">
        <f>IF(H90="","",IF(K90=K89,0,LOOKUP(W90,$B$37:$C$46,$D$37:$D$46)))</f>
        <v/>
      </c>
      <c r="N90" s="24" t="e">
        <f>IF(M90=0,"",VLOOKUP(W90,$B$35:$E$46,4,FALSE))</f>
        <v>#N/A</v>
      </c>
      <c r="O90" s="24" t="str">
        <f>IF(H90="","",IF(I90=TRUE,"",COUNTIF($I$2:I90,FALSE)+1))</f>
        <v/>
      </c>
      <c r="P90" s="89"/>
      <c r="Q90" s="24">
        <v>89</v>
      </c>
      <c r="R90" s="89">
        <f t="shared" si="27"/>
        <v>9</v>
      </c>
      <c r="S90" s="25" t="str">
        <f t="shared" si="25"/>
        <v>Year 9</v>
      </c>
      <c r="T90" s="89" t="str">
        <f>IF(Q90&lt;=$D$12,Q90,"")</f>
        <v/>
      </c>
      <c r="U90" s="89" t="str">
        <f t="shared" si="28"/>
        <v/>
      </c>
      <c r="V90" s="18" t="str">
        <f>IF(T90&lt;=$D$12,"Month "&amp;T90,"")</f>
        <v xml:space="preserve">Month </v>
      </c>
      <c r="W90" s="96">
        <f t="shared" si="29"/>
        <v>2705</v>
      </c>
      <c r="X90" s="89" t="str">
        <f>IFERROR(IF(I90=TRUE,ROUND(U90*H90,2)*(W90-W89),ROUND(U90*H89,2)*(LOOKUP(W89,$B$21:$C$33,$C$21:$C$33)-W89)+ROUND(U90*H90,2)*(W90-LOOKUP(W89,$B$21:$C$33,$C$21:$C$33))),"")</f>
        <v/>
      </c>
      <c r="Y90" s="89" t="str">
        <f>IFERROR(IF(U90&lt;Z89,U90,IF(T90=$D$12,U90,Z90-X90+M90)),"")</f>
        <v/>
      </c>
      <c r="Z90" s="89" t="str">
        <f>IF(U90="","",IF(AND(I90=FALSE,J90="No"),Z89,IF(AND(M89&lt;&gt;0,N89="Yes"),ROUND(-PMT(LOOKUP(W89,'Interest Rates'!$A$5:$A$302,'Interest Rates'!$D$5:$D$302)/12,($D$12-T90+1),U90),0),IF(I90=TRUE,Z89,ROUND(-PMT(VLOOKUP(O90,$A$14:$D$28,4,FALSE)/12,($D$12-T90+1),U90),0)))))</f>
        <v/>
      </c>
      <c r="AA90" s="89" t="str">
        <f t="shared" si="30"/>
        <v/>
      </c>
      <c r="AB90" s="89" t="str">
        <f t="shared" si="31"/>
        <v/>
      </c>
      <c r="AC90" s="89"/>
      <c r="AD90" s="99"/>
      <c r="AE90" s="89"/>
      <c r="AF90" s="131"/>
      <c r="AG90" s="35"/>
      <c r="AH90" s="38"/>
      <c r="AI90" s="89"/>
      <c r="AJ90" s="89"/>
      <c r="AK90" s="89"/>
      <c r="AL90" s="89"/>
      <c r="AM90" s="89"/>
      <c r="AN90" s="89"/>
      <c r="AO90" s="89"/>
      <c r="AP90" s="89"/>
      <c r="AQ90" s="89"/>
      <c r="AR90" s="104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>
        <v>2459</v>
      </c>
      <c r="BD90" s="105" t="s">
        <v>147</v>
      </c>
    </row>
    <row r="91" spans="2:56" x14ac:dyDescent="0.3">
      <c r="B91" s="89"/>
      <c r="C91" s="89"/>
      <c r="D91" s="89"/>
      <c r="E91" s="89"/>
      <c r="F91" s="89"/>
      <c r="G91" s="87"/>
      <c r="H91" s="93" t="str">
        <f>IFERROR(LOOKUP(W91,$B$21:$C$33,$G$21:$G$33),"")</f>
        <v/>
      </c>
      <c r="I91" s="89" t="str">
        <f t="shared" si="26"/>
        <v/>
      </c>
      <c r="J91" s="24" t="e">
        <f>IF(I91=TRUE,"",LOOKUP(W91,$B$21:$C$33,$E$21:$E$33))</f>
        <v>#N/A</v>
      </c>
      <c r="K91" s="89" t="str">
        <f>IF(H91="","",IFERROR(LOOKUP(W91,$B$37:$C$46,$D$37:$D$46),0))</f>
        <v/>
      </c>
      <c r="L91" s="89" t="str">
        <f>IF(H91="","",COUNT($M$3:M91))</f>
        <v/>
      </c>
      <c r="M91" s="89" t="str">
        <f>IF(H91="","",IF(K91=K90,0,LOOKUP(W91,$B$37:$C$46,$D$37:$D$46)))</f>
        <v/>
      </c>
      <c r="N91" s="24" t="e">
        <f>IF(M91=0,"",VLOOKUP(W91,$B$35:$E$46,4,FALSE))</f>
        <v>#N/A</v>
      </c>
      <c r="O91" s="24" t="str">
        <f>IF(H91="","",IF(I91=TRUE,"",COUNTIF($I$2:I91,FALSE)+1))</f>
        <v/>
      </c>
      <c r="P91" s="89"/>
      <c r="Q91" s="87">
        <v>90</v>
      </c>
      <c r="R91" s="89">
        <f t="shared" si="27"/>
        <v>9</v>
      </c>
      <c r="S91" s="25" t="str">
        <f t="shared" si="25"/>
        <v>Year 9</v>
      </c>
      <c r="T91" s="89" t="str">
        <f>IF(Q91&lt;=$D$12,Q91,"")</f>
        <v/>
      </c>
      <c r="U91" s="89" t="str">
        <f t="shared" si="28"/>
        <v/>
      </c>
      <c r="V91" s="18" t="str">
        <f>IF(T91&lt;=$D$12,"Month "&amp;T91,"")</f>
        <v xml:space="preserve">Month </v>
      </c>
      <c r="W91" s="96">
        <f t="shared" si="29"/>
        <v>2736</v>
      </c>
      <c r="X91" s="89" t="str">
        <f>IFERROR(IF(I91=TRUE,ROUND(U91*H91,2)*(W91-W90),ROUND(U91*H90,2)*(LOOKUP(W90,$B$21:$C$33,$C$21:$C$33)-W90)+ROUND(U91*H91,2)*(W91-LOOKUP(W90,$B$21:$C$33,$C$21:$C$33))),"")</f>
        <v/>
      </c>
      <c r="Y91" s="89" t="str">
        <f>IFERROR(IF(U91&lt;Z90,U91,IF(T91=$D$12,U91,Z91-X91+M91)),"")</f>
        <v/>
      </c>
      <c r="Z91" s="89" t="str">
        <f>IF(U91="","",IF(AND(I91=FALSE,J91="No"),Z90,IF(AND(M90&lt;&gt;0,N90="Yes"),ROUND(-PMT(LOOKUP(W90,'Interest Rates'!$A$5:$A$302,'Interest Rates'!$D$5:$D$302)/12,($D$12-T91+1),U91),0),IF(I91=TRUE,Z90,ROUND(-PMT(VLOOKUP(O91,$A$14:$D$28,4,FALSE)/12,($D$12-T91+1),U91),0)))))</f>
        <v/>
      </c>
      <c r="AA91" s="89" t="str">
        <f t="shared" si="30"/>
        <v/>
      </c>
      <c r="AB91" s="89" t="str">
        <f t="shared" si="31"/>
        <v/>
      </c>
      <c r="AC91" s="89"/>
      <c r="AD91" s="89"/>
      <c r="AE91" s="89"/>
      <c r="AF91" s="87"/>
      <c r="AG91" s="87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104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>
        <v>2465</v>
      </c>
      <c r="BD91" s="105" t="s">
        <v>148</v>
      </c>
    </row>
    <row r="92" spans="2:56" x14ac:dyDescent="0.3">
      <c r="B92" s="89"/>
      <c r="C92" s="89"/>
      <c r="D92" s="89"/>
      <c r="E92" s="89"/>
      <c r="F92" s="89"/>
      <c r="G92" s="87"/>
      <c r="H92" s="93" t="str">
        <f>IFERROR(LOOKUP(W92,$B$21:$C$33,$G$21:$G$33),"")</f>
        <v/>
      </c>
      <c r="I92" s="89" t="str">
        <f t="shared" si="26"/>
        <v/>
      </c>
      <c r="J92" s="24" t="e">
        <f>IF(I92=TRUE,"",LOOKUP(W92,$B$21:$C$33,$E$21:$E$33))</f>
        <v>#N/A</v>
      </c>
      <c r="K92" s="89" t="str">
        <f>IF(H92="","",IFERROR(LOOKUP(W92,$B$37:$C$46,$D$37:$D$46),0))</f>
        <v/>
      </c>
      <c r="L92" s="89" t="str">
        <f>IF(H92="","",COUNT($M$3:M92))</f>
        <v/>
      </c>
      <c r="M92" s="89" t="str">
        <f>IF(H92="","",IF(K92=K91,0,LOOKUP(W92,$B$37:$C$46,$D$37:$D$46)))</f>
        <v/>
      </c>
      <c r="N92" s="24" t="e">
        <f>IF(M92=0,"",VLOOKUP(W92,$B$35:$E$46,4,FALSE))</f>
        <v>#N/A</v>
      </c>
      <c r="O92" s="24" t="str">
        <f>IF(H92="","",IF(I92=TRUE,"",COUNTIF($I$2:I92,FALSE)+1))</f>
        <v/>
      </c>
      <c r="P92" s="89"/>
      <c r="Q92" s="24">
        <v>91</v>
      </c>
      <c r="R92" s="89">
        <f t="shared" si="27"/>
        <v>9</v>
      </c>
      <c r="S92" s="25" t="str">
        <f t="shared" si="25"/>
        <v>Year 9</v>
      </c>
      <c r="T92" s="89" t="str">
        <f>IF(Q92&lt;=$D$12,Q92,"")</f>
        <v/>
      </c>
      <c r="U92" s="89" t="str">
        <f t="shared" si="28"/>
        <v/>
      </c>
      <c r="V92" s="18" t="str">
        <f>IF(T92&lt;=$D$12,"Month "&amp;T92,"")</f>
        <v xml:space="preserve">Month </v>
      </c>
      <c r="W92" s="96">
        <f t="shared" si="29"/>
        <v>2766</v>
      </c>
      <c r="X92" s="89" t="str">
        <f>IFERROR(IF(I92=TRUE,ROUND(U92*H92,2)*(W92-W91),ROUND(U92*H91,2)*(LOOKUP(W91,$B$21:$C$33,$C$21:$C$33)-W91)+ROUND(U92*H92,2)*(W92-LOOKUP(W91,$B$21:$C$33,$C$21:$C$33))),"")</f>
        <v/>
      </c>
      <c r="Y92" s="89" t="str">
        <f>IFERROR(IF(U92&lt;Z91,U92,IF(T92=$D$12,U92,Z92-X92+M92)),"")</f>
        <v/>
      </c>
      <c r="Z92" s="89" t="str">
        <f>IF(U92="","",IF(AND(I92=FALSE,J92="No"),Z91,IF(AND(M91&lt;&gt;0,N91="Yes"),ROUND(-PMT(LOOKUP(W91,'Interest Rates'!$A$5:$A$302,'Interest Rates'!$D$5:$D$302)/12,($D$12-T92+1),U92),0),IF(I92=TRUE,Z91,ROUND(-PMT(VLOOKUP(O92,$A$14:$D$28,4,FALSE)/12,($D$12-T92+1),U92),0)))))</f>
        <v/>
      </c>
      <c r="AA92" s="89" t="str">
        <f t="shared" si="30"/>
        <v/>
      </c>
      <c r="AB92" s="89" t="str">
        <f t="shared" si="31"/>
        <v/>
      </c>
      <c r="AC92" s="89"/>
      <c r="AD92" s="89"/>
      <c r="AE92" s="89"/>
      <c r="AF92" s="87"/>
      <c r="AG92" s="87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104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>
        <v>2471</v>
      </c>
      <c r="BD92" s="84" t="s">
        <v>149</v>
      </c>
    </row>
    <row r="93" spans="2:56" x14ac:dyDescent="0.3">
      <c r="B93" s="89"/>
      <c r="C93" s="89"/>
      <c r="D93" s="89"/>
      <c r="E93" s="89"/>
      <c r="F93" s="89"/>
      <c r="G93" s="87"/>
      <c r="H93" s="93" t="str">
        <f>IFERROR(LOOKUP(W93,$B$21:$C$33,$G$21:$G$33),"")</f>
        <v/>
      </c>
      <c r="I93" s="89" t="str">
        <f t="shared" si="26"/>
        <v/>
      </c>
      <c r="J93" s="24" t="e">
        <f>IF(I93=TRUE,"",LOOKUP(W93,$B$21:$C$33,$E$21:$E$33))</f>
        <v>#N/A</v>
      </c>
      <c r="K93" s="89" t="str">
        <f>IF(H93="","",IFERROR(LOOKUP(W93,$B$37:$C$46,$D$37:$D$46),0))</f>
        <v/>
      </c>
      <c r="L93" s="89" t="str">
        <f>IF(H93="","",COUNT($M$3:M93))</f>
        <v/>
      </c>
      <c r="M93" s="89" t="str">
        <f>IF(H93="","",IF(K93=K92,0,LOOKUP(W93,$B$37:$C$46,$D$37:$D$46)))</f>
        <v/>
      </c>
      <c r="N93" s="24" t="e">
        <f>IF(M93=0,"",VLOOKUP(W93,$B$35:$E$46,4,FALSE))</f>
        <v>#N/A</v>
      </c>
      <c r="O93" s="24" t="str">
        <f>IF(H93="","",IF(I93=TRUE,"",COUNTIF($I$2:I93,FALSE)+1))</f>
        <v/>
      </c>
      <c r="P93" s="89"/>
      <c r="Q93" s="87">
        <v>92</v>
      </c>
      <c r="R93" s="89">
        <f t="shared" si="27"/>
        <v>9</v>
      </c>
      <c r="S93" s="25" t="str">
        <f t="shared" si="25"/>
        <v>Year 9</v>
      </c>
      <c r="T93" s="89" t="str">
        <f>IF(Q93&lt;=$D$12,Q93,"")</f>
        <v/>
      </c>
      <c r="U93" s="89" t="str">
        <f t="shared" si="28"/>
        <v/>
      </c>
      <c r="V93" s="18" t="str">
        <f>IF(T93&lt;=$D$12,"Month "&amp;T93,"")</f>
        <v xml:space="preserve">Month </v>
      </c>
      <c r="W93" s="96">
        <f t="shared" si="29"/>
        <v>2797</v>
      </c>
      <c r="X93" s="89" t="str">
        <f>IFERROR(IF(I93=TRUE,ROUND(U93*H93,2)*(W93-W92),ROUND(U93*H92,2)*(LOOKUP(W92,$B$21:$C$33,$C$21:$C$33)-W92)+ROUND(U93*H93,2)*(W93-LOOKUP(W92,$B$21:$C$33,$C$21:$C$33))),"")</f>
        <v/>
      </c>
      <c r="Y93" s="89" t="str">
        <f>IFERROR(IF(U93&lt;Z92,U93,IF(T93=$D$12,U93,Z93-X93+M93)),"")</f>
        <v/>
      </c>
      <c r="Z93" s="89" t="str">
        <f>IF(U93="","",IF(AND(I93=FALSE,J93="No"),Z92,IF(AND(M92&lt;&gt;0,N92="Yes"),ROUND(-PMT(LOOKUP(W92,'Interest Rates'!$A$5:$A$302,'Interest Rates'!$D$5:$D$302)/12,($D$12-T93+1),U93),0),IF(I93=TRUE,Z92,ROUND(-PMT(VLOOKUP(O93,$A$14:$D$28,4,FALSE)/12,($D$12-T93+1),U93),0)))))</f>
        <v/>
      </c>
      <c r="AA93" s="89" t="str">
        <f t="shared" si="30"/>
        <v/>
      </c>
      <c r="AB93" s="89" t="str">
        <f t="shared" si="31"/>
        <v/>
      </c>
      <c r="AC93" s="89"/>
      <c r="AD93" s="89"/>
      <c r="AE93" s="89"/>
      <c r="AF93" s="87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104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>
        <v>2474</v>
      </c>
      <c r="BD93" s="105" t="s">
        <v>150</v>
      </c>
    </row>
    <row r="94" spans="2:56" x14ac:dyDescent="0.3">
      <c r="B94" s="89"/>
      <c r="C94" s="89"/>
      <c r="D94" s="89"/>
      <c r="E94" s="89"/>
      <c r="F94" s="89"/>
      <c r="G94" s="87"/>
      <c r="H94" s="93" t="str">
        <f>IFERROR(LOOKUP(W94,$B$21:$C$33,$G$21:$G$33),"")</f>
        <v/>
      </c>
      <c r="I94" s="89" t="str">
        <f t="shared" si="26"/>
        <v/>
      </c>
      <c r="J94" s="24" t="e">
        <f>IF(I94=TRUE,"",LOOKUP(W94,$B$21:$C$33,$E$21:$E$33))</f>
        <v>#N/A</v>
      </c>
      <c r="K94" s="89" t="str">
        <f>IF(H94="","",IFERROR(LOOKUP(W94,$B$37:$C$46,$D$37:$D$46),0))</f>
        <v/>
      </c>
      <c r="L94" s="89" t="str">
        <f>IF(H94="","",COUNT($M$3:M94))</f>
        <v/>
      </c>
      <c r="M94" s="89" t="str">
        <f>IF(H94="","",IF(K94=K93,0,LOOKUP(W94,$B$37:$C$46,$D$37:$D$46)))</f>
        <v/>
      </c>
      <c r="N94" s="24" t="e">
        <f>IF(M94=0,"",VLOOKUP(W94,$B$35:$E$46,4,FALSE))</f>
        <v>#N/A</v>
      </c>
      <c r="O94" s="24" t="str">
        <f>IF(H94="","",IF(I94=TRUE,"",COUNTIF($I$2:I94,FALSE)+1))</f>
        <v/>
      </c>
      <c r="P94" s="89"/>
      <c r="Q94" s="24">
        <v>93</v>
      </c>
      <c r="R94" s="89">
        <f t="shared" si="27"/>
        <v>9</v>
      </c>
      <c r="S94" s="25" t="str">
        <f t="shared" si="25"/>
        <v>Year 9</v>
      </c>
      <c r="T94" s="89" t="str">
        <f>IF(Q94&lt;=$D$12,Q94,"")</f>
        <v/>
      </c>
      <c r="U94" s="89" t="str">
        <f t="shared" si="28"/>
        <v/>
      </c>
      <c r="V94" s="18" t="str">
        <f>IF(T94&lt;=$D$12,"Month "&amp;T94,"")</f>
        <v xml:space="preserve">Month </v>
      </c>
      <c r="W94" s="96">
        <f t="shared" si="29"/>
        <v>2828</v>
      </c>
      <c r="X94" s="89" t="str">
        <f>IFERROR(IF(I94=TRUE,ROUND(U94*H94,2)*(W94-W93),ROUND(U94*H93,2)*(LOOKUP(W93,$B$21:$C$33,$C$21:$C$33)-W93)+ROUND(U94*H94,2)*(W94-LOOKUP(W93,$B$21:$C$33,$C$21:$C$33))),"")</f>
        <v/>
      </c>
      <c r="Y94" s="89" t="str">
        <f>IFERROR(IF(U94&lt;Z93,U94,IF(T94=$D$12,U94,Z94-X94+M94)),"")</f>
        <v/>
      </c>
      <c r="Z94" s="89" t="str">
        <f>IF(U94="","",IF(AND(I94=FALSE,J94="No"),Z93,IF(AND(M93&lt;&gt;0,N93="Yes"),ROUND(-PMT(LOOKUP(W93,'Interest Rates'!$A$5:$A$302,'Interest Rates'!$D$5:$D$302)/12,($D$12-T94+1),U94),0),IF(I94=TRUE,Z93,ROUND(-PMT(VLOOKUP(O94,$A$14:$D$28,4,FALSE)/12,($D$12-T94+1),U94),0)))))</f>
        <v/>
      </c>
      <c r="AA94" s="89" t="str">
        <f t="shared" si="30"/>
        <v/>
      </c>
      <c r="AB94" s="89" t="str">
        <f t="shared" si="31"/>
        <v/>
      </c>
      <c r="AC94" s="89"/>
      <c r="AD94" s="89"/>
      <c r="AE94" s="89"/>
      <c r="AF94" s="87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104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>
        <v>2482</v>
      </c>
      <c r="BD94" s="105" t="s">
        <v>151</v>
      </c>
    </row>
    <row r="95" spans="2:56" x14ac:dyDescent="0.3">
      <c r="B95" s="89"/>
      <c r="C95" s="89"/>
      <c r="D95" s="89"/>
      <c r="E95" s="89"/>
      <c r="F95" s="89"/>
      <c r="G95" s="87"/>
      <c r="H95" s="93" t="str">
        <f>IFERROR(LOOKUP(W95,$B$21:$C$33,$G$21:$G$33),"")</f>
        <v/>
      </c>
      <c r="I95" s="89" t="str">
        <f t="shared" si="26"/>
        <v/>
      </c>
      <c r="J95" s="24" t="e">
        <f>IF(I95=TRUE,"",LOOKUP(W95,$B$21:$C$33,$E$21:$E$33))</f>
        <v>#N/A</v>
      </c>
      <c r="K95" s="89" t="str">
        <f>IF(H95="","",IFERROR(LOOKUP(W95,$B$37:$C$46,$D$37:$D$46),0))</f>
        <v/>
      </c>
      <c r="L95" s="89" t="str">
        <f>IF(H95="","",COUNT($M$3:M95))</f>
        <v/>
      </c>
      <c r="M95" s="89" t="str">
        <f>IF(H95="","",IF(K95=K94,0,LOOKUP(W95,$B$37:$C$46,$D$37:$D$46)))</f>
        <v/>
      </c>
      <c r="N95" s="24" t="e">
        <f>IF(M95=0,"",VLOOKUP(W95,$B$35:$E$46,4,FALSE))</f>
        <v>#N/A</v>
      </c>
      <c r="O95" s="24" t="str">
        <f>IF(H95="","",IF(I95=TRUE,"",COUNTIF($I$2:I95,FALSE)+1))</f>
        <v/>
      </c>
      <c r="P95" s="89"/>
      <c r="Q95" s="87">
        <v>94</v>
      </c>
      <c r="R95" s="89">
        <f t="shared" si="27"/>
        <v>9</v>
      </c>
      <c r="S95" s="25" t="str">
        <f t="shared" si="25"/>
        <v>Year 9</v>
      </c>
      <c r="T95" s="89" t="str">
        <f>IF(Q95&lt;=$D$12,Q95,"")</f>
        <v/>
      </c>
      <c r="U95" s="89" t="str">
        <f t="shared" si="28"/>
        <v/>
      </c>
      <c r="V95" s="18" t="str">
        <f>IF(T95&lt;=$D$12,"Month "&amp;T95,"")</f>
        <v xml:space="preserve">Month </v>
      </c>
      <c r="W95" s="96">
        <f t="shared" si="29"/>
        <v>2858</v>
      </c>
      <c r="X95" s="89" t="str">
        <f>IFERROR(IF(I95=TRUE,ROUND(U95*H95,2)*(W95-W94),ROUND(U95*H94,2)*(LOOKUP(W94,$B$21:$C$33,$C$21:$C$33)-W94)+ROUND(U95*H95,2)*(W95-LOOKUP(W94,$B$21:$C$33,$C$21:$C$33))),"")</f>
        <v/>
      </c>
      <c r="Y95" s="89" t="str">
        <f>IFERROR(IF(U95&lt;Z94,U95,IF(T95=$D$12,U95,Z95-X95+M95)),"")</f>
        <v/>
      </c>
      <c r="Z95" s="89" t="str">
        <f>IF(U95="","",IF(AND(I95=FALSE,J95="No"),Z94,IF(AND(M94&lt;&gt;0,N94="Yes"),ROUND(-PMT(LOOKUP(W94,'Interest Rates'!$A$5:$A$302,'Interest Rates'!$D$5:$D$302)/12,($D$12-T95+1),U95),0),IF(I95=TRUE,Z94,ROUND(-PMT(VLOOKUP(O95,$A$14:$D$28,4,FALSE)/12,($D$12-T95+1),U95),0)))))</f>
        <v/>
      </c>
      <c r="AA95" s="89" t="str">
        <f t="shared" si="30"/>
        <v/>
      </c>
      <c r="AB95" s="89" t="str">
        <f t="shared" si="31"/>
        <v/>
      </c>
      <c r="AC95" s="89"/>
      <c r="AD95" s="89"/>
      <c r="AE95" s="89"/>
      <c r="AF95" s="87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104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>
        <v>2490</v>
      </c>
      <c r="BD95" s="105" t="s">
        <v>152</v>
      </c>
    </row>
    <row r="96" spans="2:56" x14ac:dyDescent="0.3">
      <c r="B96" s="89"/>
      <c r="C96" s="89"/>
      <c r="D96" s="89"/>
      <c r="E96" s="89"/>
      <c r="F96" s="89"/>
      <c r="G96" s="87"/>
      <c r="H96" s="93" t="str">
        <f>IFERROR(LOOKUP(W96,$B$21:$C$33,$G$21:$G$33),"")</f>
        <v/>
      </c>
      <c r="I96" s="89" t="str">
        <f t="shared" si="26"/>
        <v/>
      </c>
      <c r="J96" s="24" t="e">
        <f>IF(I96=TRUE,"",LOOKUP(W96,$B$21:$C$33,$E$21:$E$33))</f>
        <v>#N/A</v>
      </c>
      <c r="K96" s="89" t="str">
        <f>IF(H96="","",IFERROR(LOOKUP(W96,$B$37:$C$46,$D$37:$D$46),0))</f>
        <v/>
      </c>
      <c r="L96" s="89" t="str">
        <f>IF(H96="","",COUNT($M$3:M96))</f>
        <v/>
      </c>
      <c r="M96" s="89" t="str">
        <f>IF(H96="","",IF(K96=K95,0,LOOKUP(W96,$B$37:$C$46,$D$37:$D$46)))</f>
        <v/>
      </c>
      <c r="N96" s="24" t="e">
        <f>IF(M96=0,"",VLOOKUP(W96,$B$35:$E$46,4,FALSE))</f>
        <v>#N/A</v>
      </c>
      <c r="O96" s="24" t="str">
        <f>IF(H96="","",IF(I96=TRUE,"",COUNTIF($I$2:I96,FALSE)+1))</f>
        <v/>
      </c>
      <c r="P96" s="89"/>
      <c r="Q96" s="24">
        <v>95</v>
      </c>
      <c r="R96" s="89">
        <f t="shared" si="27"/>
        <v>9</v>
      </c>
      <c r="S96" s="25" t="str">
        <f t="shared" si="25"/>
        <v>Year 9</v>
      </c>
      <c r="T96" s="89" t="str">
        <f>IF(Q96&lt;=$D$12,Q96,"")</f>
        <v/>
      </c>
      <c r="U96" s="89" t="str">
        <f t="shared" si="28"/>
        <v/>
      </c>
      <c r="V96" s="18" t="str">
        <f>IF(T96&lt;=$D$12,"Month "&amp;T96,"")</f>
        <v xml:space="preserve">Month </v>
      </c>
      <c r="W96" s="96">
        <f t="shared" si="29"/>
        <v>2889</v>
      </c>
      <c r="X96" s="89" t="str">
        <f>IFERROR(IF(I96=TRUE,ROUND(U96*H96,2)*(W96-W95),ROUND(U96*H95,2)*(LOOKUP(W95,$B$21:$C$33,$C$21:$C$33)-W95)+ROUND(U96*H96,2)*(W96-LOOKUP(W95,$B$21:$C$33,$C$21:$C$33))),"")</f>
        <v/>
      </c>
      <c r="Y96" s="89" t="str">
        <f>IFERROR(IF(U96&lt;Z95,U96,IF(T96=$D$12,U96,Z96-X96+M96)),"")</f>
        <v/>
      </c>
      <c r="Z96" s="89" t="str">
        <f>IF(U96="","",IF(AND(I96=FALSE,J96="No"),Z95,IF(AND(M95&lt;&gt;0,N95="Yes"),ROUND(-PMT(LOOKUP(W95,'Interest Rates'!$A$5:$A$302,'Interest Rates'!$D$5:$D$302)/12,($D$12-T96+1),U96),0),IF(I96=TRUE,Z95,ROUND(-PMT(VLOOKUP(O96,$A$14:$D$28,4,FALSE)/12,($D$12-T96+1),U96),0)))))</f>
        <v/>
      </c>
      <c r="AA96" s="89" t="str">
        <f t="shared" si="30"/>
        <v/>
      </c>
      <c r="AB96" s="89" t="str">
        <f t="shared" si="31"/>
        <v/>
      </c>
      <c r="AC96" s="89"/>
      <c r="AD96" s="89"/>
      <c r="AE96" s="89"/>
      <c r="AF96" s="87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104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>
        <v>2509</v>
      </c>
      <c r="BD96" s="105" t="s">
        <v>153</v>
      </c>
    </row>
    <row r="97" spans="2:56" x14ac:dyDescent="0.3">
      <c r="B97" s="89"/>
      <c r="C97" s="89"/>
      <c r="D97" s="89"/>
      <c r="E97" s="89"/>
      <c r="F97" s="89"/>
      <c r="G97" s="87"/>
      <c r="H97" s="93" t="str">
        <f>IFERROR(LOOKUP(W97,$B$21:$C$33,$G$21:$G$33),"")</f>
        <v/>
      </c>
      <c r="I97" s="89" t="str">
        <f t="shared" si="26"/>
        <v/>
      </c>
      <c r="J97" s="24" t="e">
        <f>IF(I97=TRUE,"",LOOKUP(W97,$B$21:$C$33,$E$21:$E$33))</f>
        <v>#N/A</v>
      </c>
      <c r="K97" s="89" t="str">
        <f>IF(H97="","",IFERROR(LOOKUP(W97,$B$37:$C$46,$D$37:$D$46),0))</f>
        <v/>
      </c>
      <c r="L97" s="89" t="str">
        <f>IF(H97="","",COUNT($M$3:M97))</f>
        <v/>
      </c>
      <c r="M97" s="89" t="str">
        <f>IF(H97="","",IF(K97=K96,0,LOOKUP(W97,$B$37:$C$46,$D$37:$D$46)))</f>
        <v/>
      </c>
      <c r="N97" s="24" t="e">
        <f>IF(M97=0,"",VLOOKUP(W97,$B$35:$E$46,4,FALSE))</f>
        <v>#N/A</v>
      </c>
      <c r="O97" s="24" t="str">
        <f>IF(H97="","",IF(I97=TRUE,"",COUNTIF($I$2:I97,FALSE)+1))</f>
        <v/>
      </c>
      <c r="P97" s="89"/>
      <c r="Q97" s="87">
        <v>96</v>
      </c>
      <c r="R97" s="89">
        <f t="shared" si="27"/>
        <v>9</v>
      </c>
      <c r="S97" s="25" t="str">
        <f t="shared" si="25"/>
        <v>Year 9</v>
      </c>
      <c r="T97" s="89" t="str">
        <f>IF(Q97&lt;=$D$12,Q97,"")</f>
        <v/>
      </c>
      <c r="U97" s="89" t="str">
        <f t="shared" si="28"/>
        <v/>
      </c>
      <c r="V97" s="18" t="str">
        <f>IF(T97&lt;=$D$12,"Month "&amp;T97,"")</f>
        <v xml:space="preserve">Month </v>
      </c>
      <c r="W97" s="96">
        <f t="shared" si="29"/>
        <v>2919</v>
      </c>
      <c r="X97" s="89" t="str">
        <f>IFERROR(IF(I97=TRUE,ROUND(U97*H97,2)*(W97-W96),ROUND(U97*H96,2)*(LOOKUP(W96,$B$21:$C$33,$C$21:$C$33)-W96)+ROUND(U97*H97,2)*(W97-LOOKUP(W96,$B$21:$C$33,$C$21:$C$33))),"")</f>
        <v/>
      </c>
      <c r="Y97" s="89" t="str">
        <f>IFERROR(IF(U97&lt;Z96,U97,IF(T97=$D$12,U97,Z97-X97+M97)),"")</f>
        <v/>
      </c>
      <c r="Z97" s="89" t="str">
        <f>IF(U97="","",IF(AND(I97=FALSE,J97="No"),Z96,IF(AND(M96&lt;&gt;0,N96="Yes"),ROUND(-PMT(LOOKUP(W96,'Interest Rates'!$A$5:$A$302,'Interest Rates'!$D$5:$D$302)/12,($D$12-T97+1),U97),0),IF(I97=TRUE,Z96,ROUND(-PMT(VLOOKUP(O97,$A$14:$D$28,4,FALSE)/12,($D$12-T97+1),U97),0)))))</f>
        <v/>
      </c>
      <c r="AA97" s="89" t="str">
        <f t="shared" si="30"/>
        <v/>
      </c>
      <c r="AB97" s="89" t="str">
        <f t="shared" si="31"/>
        <v/>
      </c>
      <c r="AC97" s="89"/>
      <c r="AD97" s="89"/>
      <c r="AE97" s="89"/>
      <c r="AF97" s="87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104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>
        <v>2510</v>
      </c>
      <c r="BD97" s="105" t="s">
        <v>154</v>
      </c>
    </row>
    <row r="98" spans="2:56" x14ac:dyDescent="0.3">
      <c r="B98" s="89"/>
      <c r="C98" s="89"/>
      <c r="D98" s="89"/>
      <c r="E98" s="89"/>
      <c r="F98" s="89"/>
      <c r="G98" s="87"/>
      <c r="H98" s="93" t="str">
        <f t="shared" ref="H98:H129" si="35">IFERROR(LOOKUP(W98,$B$21:$C$33,$G$21:$G$33),"")</f>
        <v/>
      </c>
      <c r="I98" s="89" t="str">
        <f t="shared" si="26"/>
        <v/>
      </c>
      <c r="J98" s="24" t="e">
        <f t="shared" ref="J98:J129" si="36">IF(I98=TRUE,"",LOOKUP(W98,$B$21:$C$33,$E$21:$E$33))</f>
        <v>#N/A</v>
      </c>
      <c r="K98" s="89" t="str">
        <f>IF(H98="","",IFERROR(LOOKUP(W98,$B$37:$C$46,$D$37:$D$46),0))</f>
        <v/>
      </c>
      <c r="L98" s="89" t="str">
        <f>IF(H98="","",COUNT($M$3:M98))</f>
        <v/>
      </c>
      <c r="M98" s="89" t="str">
        <f>IF(H98="","",IF(K98=K97,0,LOOKUP(W98,$B$37:$C$46,$D$37:$D$46)))</f>
        <v/>
      </c>
      <c r="N98" s="24" t="e">
        <f t="shared" ref="N98:N129" si="37">IF(M98=0,"",VLOOKUP(W98,$B$35:$E$46,4,FALSE))</f>
        <v>#N/A</v>
      </c>
      <c r="O98" s="24" t="str">
        <f>IF(H98="","",IF(I98=TRUE,"",COUNTIF($I$2:I98,FALSE)+1))</f>
        <v/>
      </c>
      <c r="P98" s="89"/>
      <c r="Q98" s="24">
        <v>97</v>
      </c>
      <c r="R98" s="89">
        <f t="shared" si="27"/>
        <v>9</v>
      </c>
      <c r="S98" s="25" t="str">
        <f t="shared" si="25"/>
        <v>Year 9</v>
      </c>
      <c r="T98" s="89" t="str">
        <f t="shared" ref="T98:T129" si="38">IF(Q98&lt;=$D$12,Q98,"")</f>
        <v/>
      </c>
      <c r="U98" s="89" t="str">
        <f t="shared" si="28"/>
        <v/>
      </c>
      <c r="V98" s="18" t="str">
        <f t="shared" ref="V98:V129" si="39">IF(T98&lt;=$D$12,"Month "&amp;T98,"")</f>
        <v xml:space="preserve">Month </v>
      </c>
      <c r="W98" s="96">
        <f t="shared" si="29"/>
        <v>2950</v>
      </c>
      <c r="X98" s="89" t="str">
        <f>IFERROR(IF(I98=TRUE,ROUND(U98*H98,2)*(W98-W97),ROUND(U98*H97,2)*(LOOKUP(W97,$B$21:$C$33,$C$21:$C$33)-W97)+ROUND(U98*H98,2)*(W98-LOOKUP(W97,$B$21:$C$33,$C$21:$C$33))),"")</f>
        <v/>
      </c>
      <c r="Y98" s="89" t="str">
        <f>IFERROR(IF(U98&lt;Z97,U98,IF(T98=$D$12,U98,Z98-X98+M98)),"")</f>
        <v/>
      </c>
      <c r="Z98" s="89" t="str">
        <f>IF(U98="","",IF(AND(I98=FALSE,J98="No"),Z97,IF(AND(M97&lt;&gt;0,N97="Yes"),ROUND(-PMT(LOOKUP(W97,'Interest Rates'!$A$5:$A$302,'Interest Rates'!$D$5:$D$302)/12,($D$12-T98+1),U98),0),IF(I98=TRUE,Z97,ROUND(-PMT(VLOOKUP(O98,$A$14:$D$28,4,FALSE)/12,($D$12-T98+1),U98),0)))))</f>
        <v/>
      </c>
      <c r="AA98" s="89" t="str">
        <f t="shared" si="30"/>
        <v/>
      </c>
      <c r="AB98" s="89" t="str">
        <f t="shared" si="31"/>
        <v/>
      </c>
      <c r="AC98" s="89"/>
      <c r="AD98" s="89"/>
      <c r="AE98" s="89"/>
      <c r="AF98" s="87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104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>
        <v>2514</v>
      </c>
      <c r="BD98" s="105" t="s">
        <v>155</v>
      </c>
    </row>
    <row r="99" spans="2:56" x14ac:dyDescent="0.3">
      <c r="B99" s="89"/>
      <c r="C99" s="89"/>
      <c r="D99" s="89"/>
      <c r="E99" s="89"/>
      <c r="F99" s="89"/>
      <c r="G99" s="87"/>
      <c r="H99" s="93" t="str">
        <f t="shared" si="35"/>
        <v/>
      </c>
      <c r="I99" s="89" t="str">
        <f t="shared" si="26"/>
        <v/>
      </c>
      <c r="J99" s="24" t="e">
        <f t="shared" si="36"/>
        <v>#N/A</v>
      </c>
      <c r="K99" s="89" t="str">
        <f t="shared" ref="K99:K131" si="40">IF(H99="","",IFERROR(LOOKUP(W99,$B$37:$C$46,$D$37:$D$46),0))</f>
        <v/>
      </c>
      <c r="L99" s="89" t="str">
        <f>IF(H99="","",COUNT($M$3:M99))</f>
        <v/>
      </c>
      <c r="M99" s="89" t="str">
        <f t="shared" ref="M99:M131" si="41">IF(H99="","",IF(K99=K98,0,LOOKUP(W99,$B$37:$C$46,$D$37:$D$46)))</f>
        <v/>
      </c>
      <c r="N99" s="24" t="e">
        <f t="shared" si="37"/>
        <v>#N/A</v>
      </c>
      <c r="O99" s="24" t="str">
        <f>IF(H99="","",IF(I99=TRUE,"",COUNTIF($I$2:I99,FALSE)+1))</f>
        <v/>
      </c>
      <c r="P99" s="89"/>
      <c r="Q99" s="87">
        <v>98</v>
      </c>
      <c r="R99" s="89">
        <f t="shared" si="27"/>
        <v>9</v>
      </c>
      <c r="S99" s="25" t="str">
        <f t="shared" si="25"/>
        <v>Year 9</v>
      </c>
      <c r="T99" s="89" t="str">
        <f t="shared" si="38"/>
        <v/>
      </c>
      <c r="U99" s="89" t="str">
        <f t="shared" si="28"/>
        <v/>
      </c>
      <c r="V99" s="18" t="str">
        <f t="shared" si="39"/>
        <v xml:space="preserve">Month </v>
      </c>
      <c r="W99" s="96">
        <f t="shared" si="29"/>
        <v>2981</v>
      </c>
      <c r="X99" s="89" t="str">
        <f t="shared" ref="X99:X130" si="42">IFERROR(IF(I99=TRUE,ROUND(U99*H99,2)*(W99-W98),ROUND(U99*H98,2)*(LOOKUP(W98,$B$21:$C$33,$C$21:$C$33)-W98)+ROUND(U99*H99,2)*(W99-LOOKUP(W98,$B$21:$C$33,$C$21:$C$33))),"")</f>
        <v/>
      </c>
      <c r="Y99" s="89" t="str">
        <f t="shared" ref="Y99:Y130" si="43">IFERROR(IF(U99&lt;Z98,U99,IF(T99=$D$12,U99,Z99-X99+M99)),"")</f>
        <v/>
      </c>
      <c r="Z99" s="89" t="str">
        <f>IF(U99="","",IF(AND(I99=FALSE,J99="No"),Z98,IF(AND(M98&lt;&gt;0,N98="Yes"),ROUND(-PMT(LOOKUP(W98,'Interest Rates'!$A$5:$A$302,'Interest Rates'!$D$5:$D$302)/12,($D$12-T99+1),U99),0),IF(I99=TRUE,Z98,ROUND(-PMT(VLOOKUP(O99,$A$14:$D$28,4,FALSE)/12,($D$12-T99+1),U99),0)))))</f>
        <v/>
      </c>
      <c r="AA99" s="89" t="str">
        <f t="shared" si="30"/>
        <v/>
      </c>
      <c r="AB99" s="89" t="str">
        <f t="shared" si="31"/>
        <v/>
      </c>
      <c r="AC99" s="89"/>
      <c r="AD99" s="89"/>
      <c r="AE99" s="89"/>
      <c r="AF99" s="87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104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>
        <v>2519</v>
      </c>
      <c r="BD99" s="84" t="s">
        <v>156</v>
      </c>
    </row>
    <row r="100" spans="2:56" x14ac:dyDescent="0.3">
      <c r="B100" s="89"/>
      <c r="C100" s="89"/>
      <c r="D100" s="89"/>
      <c r="E100" s="89"/>
      <c r="F100" s="89"/>
      <c r="G100" s="87"/>
      <c r="H100" s="93" t="str">
        <f t="shared" si="35"/>
        <v/>
      </c>
      <c r="I100" s="89" t="str">
        <f t="shared" si="26"/>
        <v/>
      </c>
      <c r="J100" s="24" t="e">
        <f t="shared" si="36"/>
        <v>#N/A</v>
      </c>
      <c r="K100" s="89" t="str">
        <f t="shared" si="40"/>
        <v/>
      </c>
      <c r="L100" s="89" t="str">
        <f>IF(H100="","",COUNT($M$3:M100))</f>
        <v/>
      </c>
      <c r="M100" s="89" t="str">
        <f t="shared" si="41"/>
        <v/>
      </c>
      <c r="N100" s="24" t="e">
        <f t="shared" si="37"/>
        <v>#N/A</v>
      </c>
      <c r="O100" s="24" t="str">
        <f>IF(H100="","",IF(I100=TRUE,"",COUNTIF($I$2:I100,FALSE)+1))</f>
        <v/>
      </c>
      <c r="P100" s="89"/>
      <c r="Q100" s="24">
        <v>99</v>
      </c>
      <c r="R100" s="89">
        <f t="shared" si="27"/>
        <v>9</v>
      </c>
      <c r="S100" s="25" t="str">
        <f t="shared" si="25"/>
        <v>Year 9</v>
      </c>
      <c r="T100" s="89" t="str">
        <f t="shared" si="38"/>
        <v/>
      </c>
      <c r="U100" s="89" t="str">
        <f t="shared" si="28"/>
        <v/>
      </c>
      <c r="V100" s="18" t="str">
        <f t="shared" si="39"/>
        <v xml:space="preserve">Month </v>
      </c>
      <c r="W100" s="96">
        <f t="shared" si="29"/>
        <v>3010</v>
      </c>
      <c r="X100" s="89" t="str">
        <f t="shared" si="42"/>
        <v/>
      </c>
      <c r="Y100" s="89" t="str">
        <f t="shared" si="43"/>
        <v/>
      </c>
      <c r="Z100" s="89" t="str">
        <f>IF(U100="","",IF(AND(I100=FALSE,J100="No"),Z99,IF(AND(M99&lt;&gt;0,N99="Yes"),ROUND(-PMT(LOOKUP(W99,'Interest Rates'!$A$5:$A$302,'Interest Rates'!$D$5:$D$302)/12,($D$12-T100+1),U100),0),IF(I100=TRUE,Z99,ROUND(-PMT(VLOOKUP(O100,$A$14:$D$28,4,FALSE)/12,($D$12-T100+1),U100),0)))))</f>
        <v/>
      </c>
      <c r="AA100" s="89" t="str">
        <f t="shared" si="30"/>
        <v/>
      </c>
      <c r="AB100" s="89" t="str">
        <f t="shared" si="31"/>
        <v/>
      </c>
      <c r="AC100" s="89"/>
      <c r="AD100" s="89"/>
      <c r="AE100" s="89"/>
      <c r="AF100" s="87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104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>
        <v>2520</v>
      </c>
      <c r="BD100" s="105" t="s">
        <v>157</v>
      </c>
    </row>
    <row r="101" spans="2:56" x14ac:dyDescent="0.3">
      <c r="B101" s="89"/>
      <c r="C101" s="89"/>
      <c r="D101" s="89"/>
      <c r="E101" s="89"/>
      <c r="F101" s="89"/>
      <c r="G101" s="87"/>
      <c r="H101" s="93" t="str">
        <f t="shared" si="35"/>
        <v/>
      </c>
      <c r="I101" s="89" t="str">
        <f t="shared" si="26"/>
        <v/>
      </c>
      <c r="J101" s="24" t="e">
        <f t="shared" si="36"/>
        <v>#N/A</v>
      </c>
      <c r="K101" s="89" t="str">
        <f t="shared" si="40"/>
        <v/>
      </c>
      <c r="L101" s="89" t="str">
        <f>IF(H101="","",COUNT($M$3:M101))</f>
        <v/>
      </c>
      <c r="M101" s="89" t="str">
        <f t="shared" si="41"/>
        <v/>
      </c>
      <c r="N101" s="24" t="e">
        <f t="shared" si="37"/>
        <v>#N/A</v>
      </c>
      <c r="O101" s="24" t="str">
        <f>IF(H101="","",IF(I101=TRUE,"",COUNTIF($I$2:I101,FALSE)+1))</f>
        <v/>
      </c>
      <c r="P101" s="89"/>
      <c r="Q101" s="87">
        <v>100</v>
      </c>
      <c r="R101" s="89">
        <f t="shared" si="27"/>
        <v>10</v>
      </c>
      <c r="S101" s="25" t="str">
        <f t="shared" si="25"/>
        <v>Year 10</v>
      </c>
      <c r="T101" s="89" t="str">
        <f t="shared" si="38"/>
        <v/>
      </c>
      <c r="U101" s="89" t="str">
        <f t="shared" si="28"/>
        <v/>
      </c>
      <c r="V101" s="18" t="str">
        <f t="shared" si="39"/>
        <v xml:space="preserve">Month </v>
      </c>
      <c r="W101" s="96">
        <f t="shared" si="29"/>
        <v>3041</v>
      </c>
      <c r="X101" s="89" t="str">
        <f t="shared" si="42"/>
        <v/>
      </c>
      <c r="Y101" s="89" t="str">
        <f t="shared" si="43"/>
        <v/>
      </c>
      <c r="Z101" s="89" t="str">
        <f>IF(U101="","",IF(AND(I101=FALSE,J101="No"),Z100,IF(AND(M100&lt;&gt;0,N100="Yes"),ROUND(-PMT(LOOKUP(W100,'Interest Rates'!$A$5:$A$302,'Interest Rates'!$D$5:$D$302)/12,($D$12-T101+1),U101),0),IF(I101=TRUE,Z100,ROUND(-PMT(VLOOKUP(O101,$A$14:$D$28,4,FALSE)/12,($D$12-T101+1),U101),0)))))</f>
        <v/>
      </c>
      <c r="AA101" s="89" t="str">
        <f t="shared" si="30"/>
        <v/>
      </c>
      <c r="AB101" s="89" t="str">
        <f t="shared" si="31"/>
        <v/>
      </c>
      <c r="AC101" s="89"/>
      <c r="AD101" s="89"/>
      <c r="AE101" s="89"/>
      <c r="AF101" s="87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104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>
        <v>2524</v>
      </c>
      <c r="BD101" s="105" t="s">
        <v>158</v>
      </c>
    </row>
    <row r="102" spans="2:56" x14ac:dyDescent="0.3">
      <c r="B102" s="89"/>
      <c r="C102" s="89"/>
      <c r="D102" s="89"/>
      <c r="E102" s="89"/>
      <c r="F102" s="89"/>
      <c r="G102" s="87"/>
      <c r="H102" s="93" t="str">
        <f t="shared" si="35"/>
        <v/>
      </c>
      <c r="I102" s="89" t="str">
        <f t="shared" si="26"/>
        <v/>
      </c>
      <c r="J102" s="24" t="e">
        <f t="shared" si="36"/>
        <v>#N/A</v>
      </c>
      <c r="K102" s="89" t="str">
        <f t="shared" si="40"/>
        <v/>
      </c>
      <c r="L102" s="89" t="str">
        <f>IF(H102="","",COUNT($M$3:M102))</f>
        <v/>
      </c>
      <c r="M102" s="89" t="str">
        <f t="shared" si="41"/>
        <v/>
      </c>
      <c r="N102" s="24" t="e">
        <f t="shared" si="37"/>
        <v>#N/A</v>
      </c>
      <c r="O102" s="24" t="str">
        <f>IF(H102="","",IF(I102=TRUE,"",COUNTIF($I$2:I102,FALSE)+1))</f>
        <v/>
      </c>
      <c r="P102" s="89"/>
      <c r="Q102" s="24">
        <v>101</v>
      </c>
      <c r="R102" s="89">
        <f t="shared" si="27"/>
        <v>10</v>
      </c>
      <c r="S102" s="25" t="str">
        <f t="shared" si="25"/>
        <v>Year 10</v>
      </c>
      <c r="T102" s="89" t="str">
        <f t="shared" si="38"/>
        <v/>
      </c>
      <c r="U102" s="89" t="str">
        <f t="shared" si="28"/>
        <v/>
      </c>
      <c r="V102" s="18" t="str">
        <f t="shared" si="39"/>
        <v xml:space="preserve">Month </v>
      </c>
      <c r="W102" s="96">
        <f t="shared" si="29"/>
        <v>3071</v>
      </c>
      <c r="X102" s="89" t="str">
        <f t="shared" si="42"/>
        <v/>
      </c>
      <c r="Y102" s="89" t="str">
        <f t="shared" si="43"/>
        <v/>
      </c>
      <c r="Z102" s="89" t="str">
        <f>IF(U102="","",IF(AND(I102=FALSE,J102="No"),Z101,IF(AND(M101&lt;&gt;0,N101="Yes"),ROUND(-PMT(LOOKUP(W101,'Interest Rates'!$A$5:$A$302,'Interest Rates'!$D$5:$D$302)/12,($D$12-T102+1),U102),0),IF(I102=TRUE,Z101,ROUND(-PMT(VLOOKUP(O102,$A$14:$D$28,4,FALSE)/12,($D$12-T102+1),U102),0)))))</f>
        <v/>
      </c>
      <c r="AA102" s="89" t="str">
        <f t="shared" si="30"/>
        <v/>
      </c>
      <c r="AB102" s="89" t="str">
        <f t="shared" si="31"/>
        <v/>
      </c>
      <c r="AC102" s="89"/>
      <c r="AD102" s="89"/>
      <c r="AE102" s="89"/>
      <c r="AF102" s="87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104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>
        <v>2525</v>
      </c>
      <c r="BD102" s="105" t="s">
        <v>159</v>
      </c>
    </row>
    <row r="103" spans="2:56" x14ac:dyDescent="0.3">
      <c r="B103" s="89"/>
      <c r="C103" s="89"/>
      <c r="D103" s="89"/>
      <c r="E103" s="89"/>
      <c r="F103" s="89"/>
      <c r="G103" s="87"/>
      <c r="H103" s="93" t="str">
        <f t="shared" si="35"/>
        <v/>
      </c>
      <c r="I103" s="89" t="str">
        <f t="shared" si="26"/>
        <v/>
      </c>
      <c r="J103" s="24" t="e">
        <f t="shared" si="36"/>
        <v>#N/A</v>
      </c>
      <c r="K103" s="89" t="str">
        <f t="shared" si="40"/>
        <v/>
      </c>
      <c r="L103" s="89" t="str">
        <f>IF(H103="","",COUNT($M$3:M103))</f>
        <v/>
      </c>
      <c r="M103" s="89" t="str">
        <f t="shared" si="41"/>
        <v/>
      </c>
      <c r="N103" s="24" t="e">
        <f t="shared" si="37"/>
        <v>#N/A</v>
      </c>
      <c r="O103" s="24" t="str">
        <f>IF(H103="","",IF(I103=TRUE,"",COUNTIF($I$2:I103,FALSE)+1))</f>
        <v/>
      </c>
      <c r="P103" s="89"/>
      <c r="Q103" s="87">
        <v>102</v>
      </c>
      <c r="R103" s="89">
        <f t="shared" si="27"/>
        <v>10</v>
      </c>
      <c r="S103" s="25" t="str">
        <f t="shared" si="25"/>
        <v>Year 10</v>
      </c>
      <c r="T103" s="89" t="str">
        <f t="shared" si="38"/>
        <v/>
      </c>
      <c r="U103" s="89" t="str">
        <f t="shared" si="28"/>
        <v/>
      </c>
      <c r="V103" s="18" t="str">
        <f t="shared" si="39"/>
        <v xml:space="preserve">Month </v>
      </c>
      <c r="W103" s="96">
        <f t="shared" si="29"/>
        <v>3102</v>
      </c>
      <c r="X103" s="89" t="str">
        <f t="shared" si="42"/>
        <v/>
      </c>
      <c r="Y103" s="89" t="str">
        <f t="shared" si="43"/>
        <v/>
      </c>
      <c r="Z103" s="89" t="str">
        <f>IF(U103="","",IF(AND(I103=FALSE,J103="No"),Z102,IF(AND(M102&lt;&gt;0,N102="Yes"),ROUND(-PMT(LOOKUP(W102,'Interest Rates'!$A$5:$A$302,'Interest Rates'!$D$5:$D$302)/12,($D$12-T103+1),U103),0),IF(I103=TRUE,Z102,ROUND(-PMT(VLOOKUP(O103,$A$14:$D$28,4,FALSE)/12,($D$12-T103+1),U103),0)))))</f>
        <v/>
      </c>
      <c r="AA103" s="89" t="str">
        <f t="shared" si="30"/>
        <v/>
      </c>
      <c r="AB103" s="89" t="str">
        <f t="shared" si="31"/>
        <v/>
      </c>
      <c r="AC103" s="89"/>
      <c r="AD103" s="89"/>
      <c r="AE103" s="89"/>
      <c r="AF103" s="87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104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>
        <v>2530</v>
      </c>
      <c r="BD103" s="105" t="s">
        <v>160</v>
      </c>
    </row>
    <row r="104" spans="2:56" x14ac:dyDescent="0.3">
      <c r="B104" s="89"/>
      <c r="C104" s="89"/>
      <c r="D104" s="89"/>
      <c r="E104" s="89"/>
      <c r="F104" s="89"/>
      <c r="G104" s="87"/>
      <c r="H104" s="93" t="str">
        <f t="shared" si="35"/>
        <v/>
      </c>
      <c r="I104" s="89" t="str">
        <f t="shared" si="26"/>
        <v/>
      </c>
      <c r="J104" s="24" t="e">
        <f t="shared" si="36"/>
        <v>#N/A</v>
      </c>
      <c r="K104" s="89" t="str">
        <f t="shared" si="40"/>
        <v/>
      </c>
      <c r="L104" s="89" t="str">
        <f>IF(H104="","",COUNT($M$3:M104))</f>
        <v/>
      </c>
      <c r="M104" s="89" t="str">
        <f t="shared" si="41"/>
        <v/>
      </c>
      <c r="N104" s="24" t="e">
        <f t="shared" si="37"/>
        <v>#N/A</v>
      </c>
      <c r="O104" s="24" t="str">
        <f>IF(H104="","",IF(I104=TRUE,"",COUNTIF($I$2:I104,FALSE)+1))</f>
        <v/>
      </c>
      <c r="P104" s="89"/>
      <c r="Q104" s="24">
        <v>103</v>
      </c>
      <c r="R104" s="89">
        <f t="shared" si="27"/>
        <v>10</v>
      </c>
      <c r="S104" s="25" t="str">
        <f t="shared" si="25"/>
        <v>Year 10</v>
      </c>
      <c r="T104" s="89" t="str">
        <f t="shared" si="38"/>
        <v/>
      </c>
      <c r="U104" s="89" t="str">
        <f t="shared" si="28"/>
        <v/>
      </c>
      <c r="V104" s="18" t="str">
        <f t="shared" si="39"/>
        <v xml:space="preserve">Month </v>
      </c>
      <c r="W104" s="96">
        <f t="shared" si="29"/>
        <v>3132</v>
      </c>
      <c r="X104" s="89" t="str">
        <f t="shared" si="42"/>
        <v/>
      </c>
      <c r="Y104" s="89" t="str">
        <f t="shared" si="43"/>
        <v/>
      </c>
      <c r="Z104" s="89" t="str">
        <f>IF(U104="","",IF(AND(I104=FALSE,J104="No"),Z103,IF(AND(M103&lt;&gt;0,N103="Yes"),ROUND(-PMT(LOOKUP(W103,'Interest Rates'!$A$5:$A$302,'Interest Rates'!$D$5:$D$302)/12,($D$12-T104+1),U104),0),IF(I104=TRUE,Z103,ROUND(-PMT(VLOOKUP(O104,$A$14:$D$28,4,FALSE)/12,($D$12-T104+1),U104),0)))))</f>
        <v/>
      </c>
      <c r="AA104" s="89" t="str">
        <f t="shared" si="30"/>
        <v/>
      </c>
      <c r="AB104" s="89" t="str">
        <f t="shared" si="31"/>
        <v/>
      </c>
      <c r="AC104" s="89"/>
      <c r="AD104" s="89"/>
      <c r="AE104" s="89"/>
      <c r="AF104" s="87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104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>
        <v>2532</v>
      </c>
      <c r="BD104" s="105" t="s">
        <v>161</v>
      </c>
    </row>
    <row r="105" spans="2:56" x14ac:dyDescent="0.3">
      <c r="B105" s="89"/>
      <c r="C105" s="89"/>
      <c r="D105" s="89"/>
      <c r="E105" s="89"/>
      <c r="F105" s="89"/>
      <c r="G105" s="89"/>
      <c r="H105" s="93" t="str">
        <f t="shared" si="35"/>
        <v/>
      </c>
      <c r="I105" s="89" t="str">
        <f t="shared" si="26"/>
        <v/>
      </c>
      <c r="J105" s="24" t="e">
        <f t="shared" si="36"/>
        <v>#N/A</v>
      </c>
      <c r="K105" s="89" t="str">
        <f t="shared" si="40"/>
        <v/>
      </c>
      <c r="L105" s="89" t="str">
        <f>IF(H105="","",COUNT($M$3:M105))</f>
        <v/>
      </c>
      <c r="M105" s="89" t="str">
        <f t="shared" si="41"/>
        <v/>
      </c>
      <c r="N105" s="24" t="e">
        <f t="shared" si="37"/>
        <v>#N/A</v>
      </c>
      <c r="O105" s="24" t="str">
        <f>IF(H105="","",IF(I105=TRUE,"",COUNTIF($I$2:I105,FALSE)+1))</f>
        <v/>
      </c>
      <c r="P105" s="89"/>
      <c r="Q105" s="87">
        <v>104</v>
      </c>
      <c r="R105" s="89">
        <f t="shared" si="27"/>
        <v>10</v>
      </c>
      <c r="S105" s="25" t="str">
        <f t="shared" si="25"/>
        <v>Year 10</v>
      </c>
      <c r="T105" s="89" t="str">
        <f t="shared" si="38"/>
        <v/>
      </c>
      <c r="U105" s="89" t="str">
        <f t="shared" si="28"/>
        <v/>
      </c>
      <c r="V105" s="18" t="str">
        <f t="shared" si="39"/>
        <v xml:space="preserve">Month </v>
      </c>
      <c r="W105" s="96">
        <f t="shared" si="29"/>
        <v>3163</v>
      </c>
      <c r="X105" s="89" t="str">
        <f t="shared" si="42"/>
        <v/>
      </c>
      <c r="Y105" s="89" t="str">
        <f t="shared" si="43"/>
        <v/>
      </c>
      <c r="Z105" s="89" t="str">
        <f>IF(U105="","",IF(AND(I105=FALSE,J105="No"),Z104,IF(AND(M104&lt;&gt;0,N104="Yes"),ROUND(-PMT(LOOKUP(W104,'Interest Rates'!$A$5:$A$302,'Interest Rates'!$D$5:$D$302)/12,($D$12-T105+1),U105),0),IF(I105=TRUE,Z104,ROUND(-PMT(VLOOKUP(O105,$A$14:$D$28,4,FALSE)/12,($D$12-T105+1),U105),0)))))</f>
        <v/>
      </c>
      <c r="AA105" s="89" t="str">
        <f t="shared" si="30"/>
        <v/>
      </c>
      <c r="AB105" s="89" t="str">
        <f t="shared" si="31"/>
        <v/>
      </c>
      <c r="AC105" s="89"/>
      <c r="AD105" s="89"/>
      <c r="AE105" s="89"/>
      <c r="AF105" s="87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104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>
        <v>2539</v>
      </c>
      <c r="BD105" s="105" t="s">
        <v>162</v>
      </c>
    </row>
    <row r="106" spans="2:56" x14ac:dyDescent="0.3">
      <c r="B106" s="89"/>
      <c r="C106" s="89"/>
      <c r="D106" s="89"/>
      <c r="E106" s="89"/>
      <c r="F106" s="89"/>
      <c r="G106" s="89"/>
      <c r="H106" s="93" t="str">
        <f t="shared" si="35"/>
        <v/>
      </c>
      <c r="I106" s="89" t="str">
        <f t="shared" si="26"/>
        <v/>
      </c>
      <c r="J106" s="24" t="e">
        <f t="shared" si="36"/>
        <v>#N/A</v>
      </c>
      <c r="K106" s="89" t="str">
        <f t="shared" si="40"/>
        <v/>
      </c>
      <c r="L106" s="89" t="str">
        <f>IF(H106="","",COUNT($M$3:M106))</f>
        <v/>
      </c>
      <c r="M106" s="89" t="str">
        <f t="shared" si="41"/>
        <v/>
      </c>
      <c r="N106" s="24" t="e">
        <f t="shared" si="37"/>
        <v>#N/A</v>
      </c>
      <c r="O106" s="24" t="str">
        <f>IF(H106="","",IF(I106=TRUE,"",COUNTIF($I$2:I106,FALSE)+1))</f>
        <v/>
      </c>
      <c r="P106" s="89"/>
      <c r="Q106" s="24">
        <v>105</v>
      </c>
      <c r="R106" s="89">
        <f t="shared" si="27"/>
        <v>10</v>
      </c>
      <c r="S106" s="25" t="str">
        <f t="shared" si="25"/>
        <v>Year 10</v>
      </c>
      <c r="T106" s="89" t="str">
        <f t="shared" si="38"/>
        <v/>
      </c>
      <c r="U106" s="89" t="str">
        <f t="shared" si="28"/>
        <v/>
      </c>
      <c r="V106" s="18" t="str">
        <f t="shared" si="39"/>
        <v xml:space="preserve">Month </v>
      </c>
      <c r="W106" s="96">
        <f t="shared" si="29"/>
        <v>3194</v>
      </c>
      <c r="X106" s="89" t="str">
        <f t="shared" si="42"/>
        <v/>
      </c>
      <c r="Y106" s="89" t="str">
        <f t="shared" si="43"/>
        <v/>
      </c>
      <c r="Z106" s="89" t="str">
        <f>IF(U106="","",IF(AND(I106=FALSE,J106="No"),Z105,IF(AND(M105&lt;&gt;0,N105="Yes"),ROUND(-PMT(LOOKUP(W105,'Interest Rates'!$A$5:$A$302,'Interest Rates'!$D$5:$D$302)/12,($D$12-T106+1),U106),0),IF(I106=TRUE,Z105,ROUND(-PMT(VLOOKUP(O106,$A$14:$D$28,4,FALSE)/12,($D$12-T106+1),U106),0)))))</f>
        <v/>
      </c>
      <c r="AA106" s="89" t="str">
        <f t="shared" si="30"/>
        <v/>
      </c>
      <c r="AB106" s="89" t="str">
        <f t="shared" si="31"/>
        <v/>
      </c>
      <c r="AC106" s="89"/>
      <c r="AD106" s="89"/>
      <c r="AE106" s="89"/>
      <c r="AF106" s="87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104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>
        <v>2545</v>
      </c>
      <c r="BD106" s="105" t="s">
        <v>163</v>
      </c>
    </row>
    <row r="107" spans="2:56" x14ac:dyDescent="0.3">
      <c r="B107" s="89"/>
      <c r="C107" s="89"/>
      <c r="D107" s="89"/>
      <c r="E107" s="89"/>
      <c r="F107" s="89"/>
      <c r="G107" s="89"/>
      <c r="H107" s="93" t="str">
        <f t="shared" si="35"/>
        <v/>
      </c>
      <c r="I107" s="89" t="str">
        <f t="shared" si="26"/>
        <v/>
      </c>
      <c r="J107" s="24" t="e">
        <f t="shared" si="36"/>
        <v>#N/A</v>
      </c>
      <c r="K107" s="89" t="str">
        <f t="shared" si="40"/>
        <v/>
      </c>
      <c r="L107" s="89" t="str">
        <f>IF(H107="","",COUNT($M$3:M107))</f>
        <v/>
      </c>
      <c r="M107" s="89" t="str">
        <f t="shared" si="41"/>
        <v/>
      </c>
      <c r="N107" s="24" t="e">
        <f t="shared" si="37"/>
        <v>#N/A</v>
      </c>
      <c r="O107" s="24" t="str">
        <f>IF(H107="","",IF(I107=TRUE,"",COUNTIF($I$2:I107,FALSE)+1))</f>
        <v/>
      </c>
      <c r="P107" s="89"/>
      <c r="Q107" s="87">
        <v>106</v>
      </c>
      <c r="R107" s="89">
        <f t="shared" si="27"/>
        <v>10</v>
      </c>
      <c r="S107" s="25" t="str">
        <f t="shared" si="25"/>
        <v>Year 10</v>
      </c>
      <c r="T107" s="89" t="str">
        <f t="shared" si="38"/>
        <v/>
      </c>
      <c r="U107" s="89" t="str">
        <f t="shared" si="28"/>
        <v/>
      </c>
      <c r="V107" s="18" t="str">
        <f t="shared" si="39"/>
        <v xml:space="preserve">Month </v>
      </c>
      <c r="W107" s="96">
        <f t="shared" si="29"/>
        <v>3224</v>
      </c>
      <c r="X107" s="89" t="str">
        <f t="shared" si="42"/>
        <v/>
      </c>
      <c r="Y107" s="89" t="str">
        <f t="shared" si="43"/>
        <v/>
      </c>
      <c r="Z107" s="89" t="str">
        <f>IF(U107="","",IF(AND(I107=FALSE,J107="No"),Z106,IF(AND(M106&lt;&gt;0,N106="Yes"),ROUND(-PMT(LOOKUP(W106,'Interest Rates'!$A$5:$A$302,'Interest Rates'!$D$5:$D$302)/12,($D$12-T107+1),U107),0),IF(I107=TRUE,Z106,ROUND(-PMT(VLOOKUP(O107,$A$14:$D$28,4,FALSE)/12,($D$12-T107+1),U107),0)))))</f>
        <v/>
      </c>
      <c r="AA107" s="89" t="str">
        <f t="shared" si="30"/>
        <v/>
      </c>
      <c r="AB107" s="89" t="str">
        <f t="shared" si="31"/>
        <v/>
      </c>
      <c r="AC107" s="89"/>
      <c r="AD107" s="89"/>
      <c r="AE107" s="89"/>
      <c r="AF107" s="87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104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>
        <v>2552</v>
      </c>
      <c r="BD107" s="105" t="s">
        <v>164</v>
      </c>
    </row>
    <row r="108" spans="2:56" x14ac:dyDescent="0.3">
      <c r="B108" s="89"/>
      <c r="C108" s="89"/>
      <c r="D108" s="89"/>
      <c r="E108" s="89"/>
      <c r="F108" s="89"/>
      <c r="G108" s="89"/>
      <c r="H108" s="93" t="str">
        <f t="shared" si="35"/>
        <v/>
      </c>
      <c r="I108" s="89" t="str">
        <f t="shared" si="26"/>
        <v/>
      </c>
      <c r="J108" s="24" t="e">
        <f t="shared" si="36"/>
        <v>#N/A</v>
      </c>
      <c r="K108" s="89" t="str">
        <f t="shared" si="40"/>
        <v/>
      </c>
      <c r="L108" s="89" t="str">
        <f>IF(H108="","",COUNT($M$3:M108))</f>
        <v/>
      </c>
      <c r="M108" s="89" t="str">
        <f t="shared" si="41"/>
        <v/>
      </c>
      <c r="N108" s="24" t="e">
        <f t="shared" si="37"/>
        <v>#N/A</v>
      </c>
      <c r="O108" s="24" t="str">
        <f>IF(H108="","",IF(I108=TRUE,"",COUNTIF($I$2:I108,FALSE)+1))</f>
        <v/>
      </c>
      <c r="P108" s="89"/>
      <c r="Q108" s="24">
        <v>107</v>
      </c>
      <c r="R108" s="89">
        <f t="shared" si="27"/>
        <v>10</v>
      </c>
      <c r="S108" s="25" t="str">
        <f t="shared" si="25"/>
        <v>Year 10</v>
      </c>
      <c r="T108" s="89" t="str">
        <f t="shared" si="38"/>
        <v/>
      </c>
      <c r="U108" s="89" t="str">
        <f t="shared" si="28"/>
        <v/>
      </c>
      <c r="V108" s="18" t="str">
        <f t="shared" si="39"/>
        <v xml:space="preserve">Month </v>
      </c>
      <c r="W108" s="96">
        <f t="shared" si="29"/>
        <v>3255</v>
      </c>
      <c r="X108" s="89" t="str">
        <f t="shared" si="42"/>
        <v/>
      </c>
      <c r="Y108" s="89" t="str">
        <f t="shared" si="43"/>
        <v/>
      </c>
      <c r="Z108" s="89" t="str">
        <f>IF(U108="","",IF(AND(I108=FALSE,J108="No"),Z107,IF(AND(M107&lt;&gt;0,N107="Yes"),ROUND(-PMT(LOOKUP(W107,'Interest Rates'!$A$5:$A$302,'Interest Rates'!$D$5:$D$302)/12,($D$12-T108+1),U108),0),IF(I108=TRUE,Z107,ROUND(-PMT(VLOOKUP(O108,$A$14:$D$28,4,FALSE)/12,($D$12-T108+1),U108),0)))))</f>
        <v/>
      </c>
      <c r="AA108" s="89" t="str">
        <f t="shared" si="30"/>
        <v/>
      </c>
      <c r="AB108" s="89" t="str">
        <f t="shared" si="31"/>
        <v/>
      </c>
      <c r="AC108" s="89"/>
      <c r="AD108" s="89"/>
      <c r="AE108" s="89"/>
      <c r="AF108" s="87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104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>
        <v>2559</v>
      </c>
      <c r="BD108" s="105" t="s">
        <v>165</v>
      </c>
    </row>
    <row r="109" spans="2:56" x14ac:dyDescent="0.3">
      <c r="B109" s="89"/>
      <c r="C109" s="89"/>
      <c r="D109" s="89"/>
      <c r="E109" s="89"/>
      <c r="F109" s="89"/>
      <c r="G109" s="89"/>
      <c r="H109" s="93" t="str">
        <f t="shared" si="35"/>
        <v/>
      </c>
      <c r="I109" s="89" t="str">
        <f t="shared" si="26"/>
        <v/>
      </c>
      <c r="J109" s="24" t="e">
        <f t="shared" si="36"/>
        <v>#N/A</v>
      </c>
      <c r="K109" s="89" t="str">
        <f t="shared" si="40"/>
        <v/>
      </c>
      <c r="L109" s="89" t="str">
        <f>IF(H109="","",COUNT($M$3:M109))</f>
        <v/>
      </c>
      <c r="M109" s="89" t="str">
        <f t="shared" si="41"/>
        <v/>
      </c>
      <c r="N109" s="24" t="e">
        <f t="shared" si="37"/>
        <v>#N/A</v>
      </c>
      <c r="O109" s="24" t="str">
        <f>IF(H109="","",IF(I109=TRUE,"",COUNTIF($I$2:I109,FALSE)+1))</f>
        <v/>
      </c>
      <c r="P109" s="89"/>
      <c r="Q109" s="87">
        <v>108</v>
      </c>
      <c r="R109" s="89">
        <f t="shared" si="27"/>
        <v>10</v>
      </c>
      <c r="S109" s="25" t="str">
        <f t="shared" si="25"/>
        <v>Year 10</v>
      </c>
      <c r="T109" s="89" t="str">
        <f t="shared" si="38"/>
        <v/>
      </c>
      <c r="U109" s="89" t="str">
        <f t="shared" si="28"/>
        <v/>
      </c>
      <c r="V109" s="18" t="str">
        <f t="shared" si="39"/>
        <v xml:space="preserve">Month </v>
      </c>
      <c r="W109" s="96">
        <f t="shared" si="29"/>
        <v>3285</v>
      </c>
      <c r="X109" s="89" t="str">
        <f t="shared" si="42"/>
        <v/>
      </c>
      <c r="Y109" s="89" t="str">
        <f t="shared" si="43"/>
        <v/>
      </c>
      <c r="Z109" s="89" t="str">
        <f>IF(U109="","",IF(AND(I109=FALSE,J109="No"),Z108,IF(AND(M108&lt;&gt;0,N108="Yes"),ROUND(-PMT(LOOKUP(W108,'Interest Rates'!$A$5:$A$302,'Interest Rates'!$D$5:$D$302)/12,($D$12-T109+1),U109),0),IF(I109=TRUE,Z108,ROUND(-PMT(VLOOKUP(O109,$A$14:$D$28,4,FALSE)/12,($D$12-T109+1),U109),0)))))</f>
        <v/>
      </c>
      <c r="AA109" s="89" t="str">
        <f t="shared" si="30"/>
        <v/>
      </c>
      <c r="AB109" s="89" t="str">
        <f t="shared" si="31"/>
        <v/>
      </c>
      <c r="AC109" s="89"/>
      <c r="AD109" s="89"/>
      <c r="AE109" s="89"/>
      <c r="AF109" s="87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104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>
        <v>2562</v>
      </c>
      <c r="BD109" s="105" t="s">
        <v>166</v>
      </c>
    </row>
    <row r="110" spans="2:56" x14ac:dyDescent="0.3">
      <c r="B110" s="89"/>
      <c r="C110" s="89"/>
      <c r="D110" s="89"/>
      <c r="E110" s="89"/>
      <c r="F110" s="89"/>
      <c r="G110" s="89"/>
      <c r="H110" s="93" t="str">
        <f t="shared" si="35"/>
        <v/>
      </c>
      <c r="I110" s="89" t="str">
        <f t="shared" si="26"/>
        <v/>
      </c>
      <c r="J110" s="24" t="e">
        <f t="shared" si="36"/>
        <v>#N/A</v>
      </c>
      <c r="K110" s="89" t="str">
        <f t="shared" si="40"/>
        <v/>
      </c>
      <c r="L110" s="89" t="str">
        <f>IF(H110="","",COUNT($M$3:M110))</f>
        <v/>
      </c>
      <c r="M110" s="89" t="str">
        <f t="shared" si="41"/>
        <v/>
      </c>
      <c r="N110" s="24" t="e">
        <f t="shared" si="37"/>
        <v>#N/A</v>
      </c>
      <c r="O110" s="24" t="str">
        <f>IF(H110="","",IF(I110=TRUE,"",COUNTIF($I$2:I110,FALSE)+1))</f>
        <v/>
      </c>
      <c r="P110" s="89"/>
      <c r="Q110" s="24">
        <v>109</v>
      </c>
      <c r="R110" s="89">
        <f t="shared" si="27"/>
        <v>10</v>
      </c>
      <c r="S110" s="25" t="str">
        <f t="shared" si="25"/>
        <v>Year 10</v>
      </c>
      <c r="T110" s="89" t="str">
        <f t="shared" si="38"/>
        <v/>
      </c>
      <c r="U110" s="89" t="str">
        <f t="shared" si="28"/>
        <v/>
      </c>
      <c r="V110" s="18" t="str">
        <f t="shared" si="39"/>
        <v xml:space="preserve">Month </v>
      </c>
      <c r="W110" s="96">
        <f t="shared" si="29"/>
        <v>3316</v>
      </c>
      <c r="X110" s="89" t="str">
        <f t="shared" si="42"/>
        <v/>
      </c>
      <c r="Y110" s="89" t="str">
        <f t="shared" si="43"/>
        <v/>
      </c>
      <c r="Z110" s="89" t="str">
        <f>IF(U110="","",IF(AND(I110=FALSE,J110="No"),Z109,IF(AND(M109&lt;&gt;0,N109="Yes"),ROUND(-PMT(LOOKUP(W109,'Interest Rates'!$A$5:$A$302,'Interest Rates'!$D$5:$D$302)/12,($D$12-T110+1),U110),0),IF(I110=TRUE,Z109,ROUND(-PMT(VLOOKUP(O110,$A$14:$D$28,4,FALSE)/12,($D$12-T110+1),U110),0)))))</f>
        <v/>
      </c>
      <c r="AA110" s="89" t="str">
        <f t="shared" si="30"/>
        <v/>
      </c>
      <c r="AB110" s="89" t="str">
        <f t="shared" si="31"/>
        <v/>
      </c>
      <c r="AC110" s="89"/>
      <c r="AD110" s="89"/>
      <c r="AE110" s="89"/>
      <c r="AF110" s="87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104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>
        <v>2574</v>
      </c>
      <c r="BD110" s="105" t="s">
        <v>167</v>
      </c>
    </row>
    <row r="111" spans="2:56" x14ac:dyDescent="0.3">
      <c r="B111" s="89"/>
      <c r="C111" s="89"/>
      <c r="D111" s="89"/>
      <c r="E111" s="89"/>
      <c r="F111" s="89"/>
      <c r="G111" s="89"/>
      <c r="H111" s="93" t="str">
        <f t="shared" si="35"/>
        <v/>
      </c>
      <c r="I111" s="89" t="str">
        <f t="shared" si="26"/>
        <v/>
      </c>
      <c r="J111" s="24" t="e">
        <f t="shared" si="36"/>
        <v>#N/A</v>
      </c>
      <c r="K111" s="89" t="str">
        <f t="shared" si="40"/>
        <v/>
      </c>
      <c r="L111" s="89" t="str">
        <f>IF(H111="","",COUNT($M$3:M111))</f>
        <v/>
      </c>
      <c r="M111" s="89" t="str">
        <f t="shared" si="41"/>
        <v/>
      </c>
      <c r="N111" s="24" t="e">
        <f t="shared" si="37"/>
        <v>#N/A</v>
      </c>
      <c r="O111" s="24" t="str">
        <f>IF(H111="","",IF(I111=TRUE,"",COUNTIF($I$2:I111,FALSE)+1))</f>
        <v/>
      </c>
      <c r="P111" s="89"/>
      <c r="Q111" s="87">
        <v>110</v>
      </c>
      <c r="R111" s="89">
        <f t="shared" si="27"/>
        <v>10</v>
      </c>
      <c r="S111" s="25" t="str">
        <f t="shared" si="25"/>
        <v>Year 10</v>
      </c>
      <c r="T111" s="89" t="str">
        <f t="shared" si="38"/>
        <v/>
      </c>
      <c r="U111" s="89" t="str">
        <f t="shared" si="28"/>
        <v/>
      </c>
      <c r="V111" s="18" t="str">
        <f t="shared" si="39"/>
        <v xml:space="preserve">Month </v>
      </c>
      <c r="W111" s="96">
        <f t="shared" si="29"/>
        <v>3347</v>
      </c>
      <c r="X111" s="89" t="str">
        <f t="shared" si="42"/>
        <v/>
      </c>
      <c r="Y111" s="89" t="str">
        <f t="shared" si="43"/>
        <v/>
      </c>
      <c r="Z111" s="89" t="str">
        <f>IF(U111="","",IF(AND(I111=FALSE,J111="No"),Z110,IF(AND(M110&lt;&gt;0,N110="Yes"),ROUND(-PMT(LOOKUP(W110,'Interest Rates'!$A$5:$A$302,'Interest Rates'!$D$5:$D$302)/12,($D$12-T111+1),U111),0),IF(I111=TRUE,Z110,ROUND(-PMT(VLOOKUP(O111,$A$14:$D$28,4,FALSE)/12,($D$12-T111+1),U111),0)))))</f>
        <v/>
      </c>
      <c r="AA111" s="89" t="str">
        <f t="shared" si="30"/>
        <v/>
      </c>
      <c r="AB111" s="89" t="str">
        <f t="shared" si="31"/>
        <v/>
      </c>
      <c r="AC111" s="89"/>
      <c r="AD111" s="89"/>
      <c r="AE111" s="89"/>
      <c r="AF111" s="87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104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>
        <v>2578</v>
      </c>
      <c r="BD111" s="105" t="s">
        <v>168</v>
      </c>
    </row>
    <row r="112" spans="2:56" x14ac:dyDescent="0.3">
      <c r="B112" s="89"/>
      <c r="C112" s="89"/>
      <c r="D112" s="89"/>
      <c r="E112" s="89"/>
      <c r="F112" s="89"/>
      <c r="G112" s="89"/>
      <c r="H112" s="93" t="str">
        <f t="shared" si="35"/>
        <v/>
      </c>
      <c r="I112" s="89" t="str">
        <f t="shared" si="26"/>
        <v/>
      </c>
      <c r="J112" s="24" t="e">
        <f t="shared" si="36"/>
        <v>#N/A</v>
      </c>
      <c r="K112" s="89" t="str">
        <f t="shared" si="40"/>
        <v/>
      </c>
      <c r="L112" s="89" t="str">
        <f>IF(H112="","",COUNT($M$3:M112))</f>
        <v/>
      </c>
      <c r="M112" s="89" t="str">
        <f t="shared" si="41"/>
        <v/>
      </c>
      <c r="N112" s="24" t="e">
        <f t="shared" si="37"/>
        <v>#N/A</v>
      </c>
      <c r="O112" s="24" t="str">
        <f>IF(H112="","",IF(I112=TRUE,"",COUNTIF($I$2:I112,FALSE)+1))</f>
        <v/>
      </c>
      <c r="P112" s="89"/>
      <c r="Q112" s="24">
        <v>111</v>
      </c>
      <c r="R112" s="89">
        <f t="shared" si="27"/>
        <v>10</v>
      </c>
      <c r="S112" s="25" t="str">
        <f t="shared" si="25"/>
        <v>Year 10</v>
      </c>
      <c r="T112" s="89" t="str">
        <f t="shared" si="38"/>
        <v/>
      </c>
      <c r="U112" s="89" t="str">
        <f t="shared" si="28"/>
        <v/>
      </c>
      <c r="V112" s="18" t="str">
        <f t="shared" si="39"/>
        <v xml:space="preserve">Month </v>
      </c>
      <c r="W112" s="96">
        <f t="shared" si="29"/>
        <v>3375</v>
      </c>
      <c r="X112" s="89" t="str">
        <f t="shared" si="42"/>
        <v/>
      </c>
      <c r="Y112" s="89" t="str">
        <f t="shared" si="43"/>
        <v/>
      </c>
      <c r="Z112" s="89" t="str">
        <f>IF(U112="","",IF(AND(I112=FALSE,J112="No"),Z111,IF(AND(M111&lt;&gt;0,N111="Yes"),ROUND(-PMT(LOOKUP(W111,'Interest Rates'!$A$5:$A$302,'Interest Rates'!$D$5:$D$302)/12,($D$12-T112+1),U112),0),IF(I112=TRUE,Z111,ROUND(-PMT(VLOOKUP(O112,$A$14:$D$28,4,FALSE)/12,($D$12-T112+1),U112),0)))))</f>
        <v/>
      </c>
      <c r="AA112" s="89" t="str">
        <f t="shared" si="30"/>
        <v/>
      </c>
      <c r="AB112" s="89" t="str">
        <f t="shared" si="31"/>
        <v/>
      </c>
      <c r="AC112" s="89"/>
      <c r="AD112" s="89"/>
      <c r="AE112" s="89"/>
      <c r="AF112" s="87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104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>
        <v>2586</v>
      </c>
      <c r="BD112" s="105" t="s">
        <v>169</v>
      </c>
    </row>
    <row r="113" spans="2:56" x14ac:dyDescent="0.3">
      <c r="B113" s="89"/>
      <c r="C113" s="89"/>
      <c r="D113" s="89"/>
      <c r="E113" s="89"/>
      <c r="F113" s="89"/>
      <c r="G113" s="89"/>
      <c r="H113" s="93" t="str">
        <f t="shared" si="35"/>
        <v/>
      </c>
      <c r="I113" s="89" t="str">
        <f t="shared" si="26"/>
        <v/>
      </c>
      <c r="J113" s="24" t="e">
        <f t="shared" si="36"/>
        <v>#N/A</v>
      </c>
      <c r="K113" s="89" t="str">
        <f t="shared" si="40"/>
        <v/>
      </c>
      <c r="L113" s="89" t="str">
        <f>IF(H113="","",COUNT($M$3:M113))</f>
        <v/>
      </c>
      <c r="M113" s="89" t="str">
        <f t="shared" si="41"/>
        <v/>
      </c>
      <c r="N113" s="24" t="e">
        <f t="shared" si="37"/>
        <v>#N/A</v>
      </c>
      <c r="O113" s="24" t="str">
        <f>IF(H113="","",IF(I113=TRUE,"",COUNTIF($I$2:I113,FALSE)+1))</f>
        <v/>
      </c>
      <c r="P113" s="89"/>
      <c r="Q113" s="87">
        <v>112</v>
      </c>
      <c r="R113" s="89">
        <f t="shared" si="27"/>
        <v>11</v>
      </c>
      <c r="S113" s="25" t="str">
        <f t="shared" si="25"/>
        <v>Year 11</v>
      </c>
      <c r="T113" s="89" t="str">
        <f t="shared" si="38"/>
        <v/>
      </c>
      <c r="U113" s="89" t="str">
        <f t="shared" si="28"/>
        <v/>
      </c>
      <c r="V113" s="18" t="str">
        <f t="shared" si="39"/>
        <v xml:space="preserve">Month </v>
      </c>
      <c r="W113" s="96">
        <f t="shared" si="29"/>
        <v>3406</v>
      </c>
      <c r="X113" s="89" t="str">
        <f t="shared" si="42"/>
        <v/>
      </c>
      <c r="Y113" s="89" t="str">
        <f t="shared" si="43"/>
        <v/>
      </c>
      <c r="Z113" s="89" t="str">
        <f>IF(U113="","",IF(AND(I113=FALSE,J113="No"),Z112,IF(AND(M112&lt;&gt;0,N112="Yes"),ROUND(-PMT(LOOKUP(W112,'Interest Rates'!$A$5:$A$302,'Interest Rates'!$D$5:$D$302)/12,($D$12-T113+1),U113),0),IF(I113=TRUE,Z112,ROUND(-PMT(VLOOKUP(O113,$A$14:$D$28,4,FALSE)/12,($D$12-T113+1),U113),0)))))</f>
        <v/>
      </c>
      <c r="AA113" s="89" t="str">
        <f t="shared" si="30"/>
        <v/>
      </c>
      <c r="AB113" s="89" t="str">
        <f t="shared" si="31"/>
        <v/>
      </c>
      <c r="AC113" s="89"/>
      <c r="AD113" s="89"/>
      <c r="AE113" s="89"/>
      <c r="AF113" s="87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104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>
        <v>2603</v>
      </c>
      <c r="BD113" s="105" t="s">
        <v>170</v>
      </c>
    </row>
    <row r="114" spans="2:56" x14ac:dyDescent="0.3">
      <c r="B114" s="89"/>
      <c r="C114" s="89"/>
      <c r="D114" s="89"/>
      <c r="E114" s="89"/>
      <c r="F114" s="89"/>
      <c r="G114" s="89"/>
      <c r="H114" s="93" t="str">
        <f t="shared" si="35"/>
        <v/>
      </c>
      <c r="I114" s="89" t="str">
        <f t="shared" si="26"/>
        <v/>
      </c>
      <c r="J114" s="24" t="e">
        <f t="shared" si="36"/>
        <v>#N/A</v>
      </c>
      <c r="K114" s="89" t="str">
        <f t="shared" si="40"/>
        <v/>
      </c>
      <c r="L114" s="89" t="str">
        <f>IF(H114="","",COUNT($M$3:M114))</f>
        <v/>
      </c>
      <c r="M114" s="89" t="str">
        <f t="shared" si="41"/>
        <v/>
      </c>
      <c r="N114" s="24" t="e">
        <f t="shared" si="37"/>
        <v>#N/A</v>
      </c>
      <c r="O114" s="24" t="str">
        <f>IF(H114="","",IF(I114=TRUE,"",COUNTIF($I$2:I114,FALSE)+1))</f>
        <v/>
      </c>
      <c r="P114" s="89"/>
      <c r="Q114" s="24">
        <v>113</v>
      </c>
      <c r="R114" s="89">
        <f t="shared" si="27"/>
        <v>11</v>
      </c>
      <c r="S114" s="25" t="str">
        <f t="shared" si="25"/>
        <v>Year 11</v>
      </c>
      <c r="T114" s="89" t="str">
        <f t="shared" si="38"/>
        <v/>
      </c>
      <c r="U114" s="89" t="str">
        <f t="shared" si="28"/>
        <v/>
      </c>
      <c r="V114" s="18" t="str">
        <f t="shared" si="39"/>
        <v xml:space="preserve">Month </v>
      </c>
      <c r="W114" s="96">
        <f t="shared" si="29"/>
        <v>3436</v>
      </c>
      <c r="X114" s="89" t="str">
        <f t="shared" si="42"/>
        <v/>
      </c>
      <c r="Y114" s="89" t="str">
        <f t="shared" si="43"/>
        <v/>
      </c>
      <c r="Z114" s="89" t="str">
        <f>IF(U114="","",IF(AND(I114=FALSE,J114="No"),Z113,IF(AND(M113&lt;&gt;0,N113="Yes"),ROUND(-PMT(LOOKUP(W113,'Interest Rates'!$A$5:$A$302,'Interest Rates'!$D$5:$D$302)/12,($D$12-T114+1),U114),0),IF(I114=TRUE,Z113,ROUND(-PMT(VLOOKUP(O114,$A$14:$D$28,4,FALSE)/12,($D$12-T114+1),U114),0)))))</f>
        <v/>
      </c>
      <c r="AA114" s="89" t="str">
        <f t="shared" si="30"/>
        <v/>
      </c>
      <c r="AB114" s="89" t="str">
        <f t="shared" si="31"/>
        <v/>
      </c>
      <c r="AC114" s="89"/>
      <c r="AD114" s="89"/>
      <c r="AE114" s="89"/>
      <c r="AF114" s="87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104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>
        <v>2607</v>
      </c>
      <c r="BD114" s="105" t="s">
        <v>171</v>
      </c>
    </row>
    <row r="115" spans="2:56" x14ac:dyDescent="0.3">
      <c r="B115" s="89"/>
      <c r="C115" s="89"/>
      <c r="D115" s="89"/>
      <c r="E115" s="89"/>
      <c r="F115" s="89"/>
      <c r="G115" s="89"/>
      <c r="H115" s="93" t="str">
        <f t="shared" si="35"/>
        <v/>
      </c>
      <c r="I115" s="89" t="str">
        <f t="shared" si="26"/>
        <v/>
      </c>
      <c r="J115" s="24" t="e">
        <f t="shared" si="36"/>
        <v>#N/A</v>
      </c>
      <c r="K115" s="89" t="str">
        <f t="shared" si="40"/>
        <v/>
      </c>
      <c r="L115" s="89" t="str">
        <f>IF(H115="","",COUNT($M$3:M115))</f>
        <v/>
      </c>
      <c r="M115" s="89" t="str">
        <f t="shared" si="41"/>
        <v/>
      </c>
      <c r="N115" s="24" t="e">
        <f t="shared" si="37"/>
        <v>#N/A</v>
      </c>
      <c r="O115" s="24" t="str">
        <f>IF(H115="","",IF(I115=TRUE,"",COUNTIF($I$2:I115,FALSE)+1))</f>
        <v/>
      </c>
      <c r="P115" s="89"/>
      <c r="Q115" s="87">
        <v>114</v>
      </c>
      <c r="R115" s="89">
        <f t="shared" si="27"/>
        <v>11</v>
      </c>
      <c r="S115" s="25" t="str">
        <f t="shared" si="25"/>
        <v>Year 11</v>
      </c>
      <c r="T115" s="89" t="str">
        <f t="shared" si="38"/>
        <v/>
      </c>
      <c r="U115" s="89" t="str">
        <f t="shared" si="28"/>
        <v/>
      </c>
      <c r="V115" s="18" t="str">
        <f t="shared" si="39"/>
        <v xml:space="preserve">Month </v>
      </c>
      <c r="W115" s="96">
        <f t="shared" si="29"/>
        <v>3467</v>
      </c>
      <c r="X115" s="89" t="str">
        <f t="shared" si="42"/>
        <v/>
      </c>
      <c r="Y115" s="89" t="str">
        <f t="shared" si="43"/>
        <v/>
      </c>
      <c r="Z115" s="89" t="str">
        <f>IF(U115="","",IF(AND(I115=FALSE,J115="No"),Z114,IF(AND(M114&lt;&gt;0,N114="Yes"),ROUND(-PMT(LOOKUP(W114,'Interest Rates'!$A$5:$A$302,'Interest Rates'!$D$5:$D$302)/12,($D$12-T115+1),U115),0),IF(I115=TRUE,Z114,ROUND(-PMT(VLOOKUP(O115,$A$14:$D$28,4,FALSE)/12,($D$12-T115+1),U115),0)))))</f>
        <v/>
      </c>
      <c r="AA115" s="89" t="str">
        <f t="shared" si="30"/>
        <v/>
      </c>
      <c r="AB115" s="89" t="str">
        <f t="shared" si="31"/>
        <v/>
      </c>
      <c r="AC115" s="89"/>
      <c r="AD115" s="89"/>
      <c r="AE115" s="89"/>
      <c r="AF115" s="87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104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>
        <v>2615</v>
      </c>
      <c r="BD115" s="105" t="s">
        <v>172</v>
      </c>
    </row>
    <row r="116" spans="2:56" x14ac:dyDescent="0.3">
      <c r="B116" s="89"/>
      <c r="C116" s="89"/>
      <c r="D116" s="89"/>
      <c r="E116" s="89"/>
      <c r="F116" s="89"/>
      <c r="G116" s="89"/>
      <c r="H116" s="93" t="str">
        <f t="shared" si="35"/>
        <v/>
      </c>
      <c r="I116" s="89" t="str">
        <f t="shared" si="26"/>
        <v/>
      </c>
      <c r="J116" s="24" t="e">
        <f t="shared" si="36"/>
        <v>#N/A</v>
      </c>
      <c r="K116" s="89" t="str">
        <f t="shared" si="40"/>
        <v/>
      </c>
      <c r="L116" s="89" t="str">
        <f>IF(H116="","",COUNT($M$3:M116))</f>
        <v/>
      </c>
      <c r="M116" s="89" t="str">
        <f t="shared" si="41"/>
        <v/>
      </c>
      <c r="N116" s="24" t="e">
        <f t="shared" si="37"/>
        <v>#N/A</v>
      </c>
      <c r="O116" s="24" t="str">
        <f>IF(H116="","",IF(I116=TRUE,"",COUNTIF($I$2:I116,FALSE)+1))</f>
        <v/>
      </c>
      <c r="P116" s="89"/>
      <c r="Q116" s="24">
        <v>115</v>
      </c>
      <c r="R116" s="89">
        <f t="shared" si="27"/>
        <v>11</v>
      </c>
      <c r="S116" s="25" t="str">
        <f t="shared" si="25"/>
        <v>Year 11</v>
      </c>
      <c r="T116" s="89" t="str">
        <f t="shared" si="38"/>
        <v/>
      </c>
      <c r="U116" s="89" t="str">
        <f t="shared" si="28"/>
        <v/>
      </c>
      <c r="V116" s="18" t="str">
        <f t="shared" si="39"/>
        <v xml:space="preserve">Month </v>
      </c>
      <c r="W116" s="96">
        <f t="shared" si="29"/>
        <v>3497</v>
      </c>
      <c r="X116" s="89" t="str">
        <f t="shared" si="42"/>
        <v/>
      </c>
      <c r="Y116" s="89" t="str">
        <f t="shared" si="43"/>
        <v/>
      </c>
      <c r="Z116" s="89" t="str">
        <f>IF(U116="","",IF(AND(I116=FALSE,J116="No"),Z115,IF(AND(M115&lt;&gt;0,N115="Yes"),ROUND(-PMT(LOOKUP(W115,'Interest Rates'!$A$5:$A$302,'Interest Rates'!$D$5:$D$302)/12,($D$12-T116+1),U116),0),IF(I116=TRUE,Z115,ROUND(-PMT(VLOOKUP(O116,$A$14:$D$28,4,FALSE)/12,($D$12-T116+1),U116),0)))))</f>
        <v/>
      </c>
      <c r="AA116" s="89" t="str">
        <f t="shared" si="30"/>
        <v/>
      </c>
      <c r="AB116" s="89" t="str">
        <f t="shared" si="31"/>
        <v/>
      </c>
      <c r="AC116" s="89"/>
      <c r="AD116" s="89"/>
      <c r="AE116" s="89"/>
      <c r="AF116" s="87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104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>
        <v>2627</v>
      </c>
      <c r="BD116" s="105" t="s">
        <v>173</v>
      </c>
    </row>
    <row r="117" spans="2:56" x14ac:dyDescent="0.3">
      <c r="B117" s="89"/>
      <c r="C117" s="89"/>
      <c r="D117" s="89"/>
      <c r="E117" s="89"/>
      <c r="F117" s="89"/>
      <c r="G117" s="89"/>
      <c r="H117" s="93" t="str">
        <f t="shared" si="35"/>
        <v/>
      </c>
      <c r="I117" s="89" t="str">
        <f t="shared" si="26"/>
        <v/>
      </c>
      <c r="J117" s="24" t="e">
        <f t="shared" si="36"/>
        <v>#N/A</v>
      </c>
      <c r="K117" s="89" t="str">
        <f t="shared" si="40"/>
        <v/>
      </c>
      <c r="L117" s="89" t="str">
        <f>IF(H117="","",COUNT($M$3:M117))</f>
        <v/>
      </c>
      <c r="M117" s="89" t="str">
        <f t="shared" si="41"/>
        <v/>
      </c>
      <c r="N117" s="24" t="e">
        <f t="shared" si="37"/>
        <v>#N/A</v>
      </c>
      <c r="O117" s="24" t="str">
        <f>IF(H117="","",IF(I117=TRUE,"",COUNTIF($I$2:I117,FALSE)+1))</f>
        <v/>
      </c>
      <c r="P117" s="89"/>
      <c r="Q117" s="87">
        <v>116</v>
      </c>
      <c r="R117" s="89">
        <f t="shared" si="27"/>
        <v>11</v>
      </c>
      <c r="S117" s="25" t="str">
        <f t="shared" si="25"/>
        <v>Year 11</v>
      </c>
      <c r="T117" s="89" t="str">
        <f t="shared" si="38"/>
        <v/>
      </c>
      <c r="U117" s="89" t="str">
        <f t="shared" si="28"/>
        <v/>
      </c>
      <c r="V117" s="18" t="str">
        <f t="shared" si="39"/>
        <v xml:space="preserve">Month </v>
      </c>
      <c r="W117" s="96">
        <f t="shared" si="29"/>
        <v>3528</v>
      </c>
      <c r="X117" s="89" t="str">
        <f t="shared" si="42"/>
        <v/>
      </c>
      <c r="Y117" s="89" t="str">
        <f t="shared" si="43"/>
        <v/>
      </c>
      <c r="Z117" s="89" t="str">
        <f>IF(U117="","",IF(AND(I117=FALSE,J117="No"),Z116,IF(AND(M116&lt;&gt;0,N116="Yes"),ROUND(-PMT(LOOKUP(W116,'Interest Rates'!$A$5:$A$302,'Interest Rates'!$D$5:$D$302)/12,($D$12-T117+1),U117),0),IF(I117=TRUE,Z116,ROUND(-PMT(VLOOKUP(O117,$A$14:$D$28,4,FALSE)/12,($D$12-T117+1),U117),0)))))</f>
        <v/>
      </c>
      <c r="AA117" s="89" t="str">
        <f t="shared" si="30"/>
        <v/>
      </c>
      <c r="AB117" s="89" t="str">
        <f t="shared" si="31"/>
        <v/>
      </c>
      <c r="AC117" s="89"/>
      <c r="AD117" s="89"/>
      <c r="AE117" s="89"/>
      <c r="AF117" s="87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104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>
        <v>2632</v>
      </c>
      <c r="BD117" s="105" t="s">
        <v>174</v>
      </c>
    </row>
    <row r="118" spans="2:56" x14ac:dyDescent="0.3">
      <c r="B118" s="89"/>
      <c r="C118" s="89"/>
      <c r="D118" s="89"/>
      <c r="E118" s="89"/>
      <c r="F118" s="89"/>
      <c r="G118" s="89"/>
      <c r="H118" s="93" t="str">
        <f t="shared" si="35"/>
        <v/>
      </c>
      <c r="I118" s="89" t="str">
        <f t="shared" si="26"/>
        <v/>
      </c>
      <c r="J118" s="24" t="e">
        <f t="shared" si="36"/>
        <v>#N/A</v>
      </c>
      <c r="K118" s="89" t="str">
        <f t="shared" si="40"/>
        <v/>
      </c>
      <c r="L118" s="89" t="str">
        <f>IF(H118="","",COUNT($M$3:M118))</f>
        <v/>
      </c>
      <c r="M118" s="89" t="str">
        <f t="shared" si="41"/>
        <v/>
      </c>
      <c r="N118" s="24" t="e">
        <f t="shared" si="37"/>
        <v>#N/A</v>
      </c>
      <c r="O118" s="24" t="str">
        <f>IF(H118="","",IF(I118=TRUE,"",COUNTIF($I$2:I118,FALSE)+1))</f>
        <v/>
      </c>
      <c r="P118" s="89"/>
      <c r="Q118" s="24">
        <v>117</v>
      </c>
      <c r="R118" s="89">
        <f t="shared" si="27"/>
        <v>11</v>
      </c>
      <c r="S118" s="25" t="str">
        <f t="shared" si="25"/>
        <v>Year 11</v>
      </c>
      <c r="T118" s="89" t="str">
        <f t="shared" si="38"/>
        <v/>
      </c>
      <c r="U118" s="89" t="str">
        <f t="shared" si="28"/>
        <v/>
      </c>
      <c r="V118" s="18" t="str">
        <f t="shared" si="39"/>
        <v xml:space="preserve">Month </v>
      </c>
      <c r="W118" s="96">
        <f t="shared" si="29"/>
        <v>3559</v>
      </c>
      <c r="X118" s="89" t="str">
        <f t="shared" si="42"/>
        <v/>
      </c>
      <c r="Y118" s="89" t="str">
        <f t="shared" si="43"/>
        <v/>
      </c>
      <c r="Z118" s="89" t="str">
        <f>IF(U118="","",IF(AND(I118=FALSE,J118="No"),Z117,IF(AND(M117&lt;&gt;0,N117="Yes"),ROUND(-PMT(LOOKUP(W117,'Interest Rates'!$A$5:$A$302,'Interest Rates'!$D$5:$D$302)/12,($D$12-T118+1),U118),0),IF(I118=TRUE,Z117,ROUND(-PMT(VLOOKUP(O118,$A$14:$D$28,4,FALSE)/12,($D$12-T118+1),U118),0)))))</f>
        <v/>
      </c>
      <c r="AA118" s="89" t="str">
        <f t="shared" si="30"/>
        <v/>
      </c>
      <c r="AB118" s="89" t="str">
        <f t="shared" si="31"/>
        <v/>
      </c>
      <c r="AC118" s="89"/>
      <c r="AD118" s="89"/>
      <c r="AE118" s="89"/>
      <c r="AF118" s="87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104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>
        <v>2643</v>
      </c>
      <c r="BD118" s="105" t="s">
        <v>175</v>
      </c>
    </row>
    <row r="119" spans="2:56" x14ac:dyDescent="0.3">
      <c r="B119" s="89"/>
      <c r="C119" s="89"/>
      <c r="D119" s="89"/>
      <c r="E119" s="89"/>
      <c r="F119" s="89"/>
      <c r="G119" s="89"/>
      <c r="H119" s="93" t="str">
        <f t="shared" si="35"/>
        <v/>
      </c>
      <c r="I119" s="89" t="str">
        <f t="shared" si="26"/>
        <v/>
      </c>
      <c r="J119" s="24" t="e">
        <f t="shared" si="36"/>
        <v>#N/A</v>
      </c>
      <c r="K119" s="89" t="str">
        <f t="shared" si="40"/>
        <v/>
      </c>
      <c r="L119" s="89" t="str">
        <f>IF(H119="","",COUNT($M$3:M119))</f>
        <v/>
      </c>
      <c r="M119" s="89" t="str">
        <f t="shared" si="41"/>
        <v/>
      </c>
      <c r="N119" s="24" t="e">
        <f t="shared" si="37"/>
        <v>#N/A</v>
      </c>
      <c r="O119" s="24" t="str">
        <f>IF(H119="","",IF(I119=TRUE,"",COUNTIF($I$2:I119,FALSE)+1))</f>
        <v/>
      </c>
      <c r="P119" s="89"/>
      <c r="Q119" s="87">
        <v>118</v>
      </c>
      <c r="R119" s="89">
        <f t="shared" si="27"/>
        <v>11</v>
      </c>
      <c r="S119" s="25" t="str">
        <f t="shared" si="25"/>
        <v>Year 11</v>
      </c>
      <c r="T119" s="89" t="str">
        <f t="shared" si="38"/>
        <v/>
      </c>
      <c r="U119" s="89" t="str">
        <f t="shared" si="28"/>
        <v/>
      </c>
      <c r="V119" s="18" t="str">
        <f t="shared" si="39"/>
        <v xml:space="preserve">Month </v>
      </c>
      <c r="W119" s="96">
        <f t="shared" si="29"/>
        <v>3589</v>
      </c>
      <c r="X119" s="89" t="str">
        <f t="shared" si="42"/>
        <v/>
      </c>
      <c r="Y119" s="89" t="str">
        <f t="shared" si="43"/>
        <v/>
      </c>
      <c r="Z119" s="89" t="str">
        <f>IF(U119="","",IF(AND(I119=FALSE,J119="No"),Z118,IF(AND(M118&lt;&gt;0,N118="Yes"),ROUND(-PMT(LOOKUP(W118,'Interest Rates'!$A$5:$A$302,'Interest Rates'!$D$5:$D$302)/12,($D$12-T119+1),U119),0),IF(I119=TRUE,Z118,ROUND(-PMT(VLOOKUP(O119,$A$14:$D$28,4,FALSE)/12,($D$12-T119+1),U119),0)))))</f>
        <v/>
      </c>
      <c r="AA119" s="89" t="str">
        <f t="shared" si="30"/>
        <v/>
      </c>
      <c r="AB119" s="89" t="str">
        <f t="shared" si="31"/>
        <v/>
      </c>
      <c r="AC119" s="89"/>
      <c r="AD119" s="89"/>
      <c r="AE119" s="89"/>
      <c r="AF119" s="87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104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>
        <v>2648</v>
      </c>
      <c r="BD119" s="105" t="s">
        <v>176</v>
      </c>
    </row>
    <row r="120" spans="2:56" x14ac:dyDescent="0.3">
      <c r="B120" s="89"/>
      <c r="C120" s="89"/>
      <c r="D120" s="89"/>
      <c r="E120" s="89"/>
      <c r="F120" s="89"/>
      <c r="G120" s="89"/>
      <c r="H120" s="93" t="str">
        <f t="shared" si="35"/>
        <v/>
      </c>
      <c r="I120" s="89" t="str">
        <f t="shared" si="26"/>
        <v/>
      </c>
      <c r="J120" s="24" t="e">
        <f t="shared" si="36"/>
        <v>#N/A</v>
      </c>
      <c r="K120" s="89" t="str">
        <f t="shared" si="40"/>
        <v/>
      </c>
      <c r="L120" s="89" t="str">
        <f>IF(H120="","",COUNT($M$3:M120))</f>
        <v/>
      </c>
      <c r="M120" s="89" t="str">
        <f t="shared" si="41"/>
        <v/>
      </c>
      <c r="N120" s="24" t="e">
        <f t="shared" si="37"/>
        <v>#N/A</v>
      </c>
      <c r="O120" s="24" t="str">
        <f>IF(H120="","",IF(I120=TRUE,"",COUNTIF($I$2:I120,FALSE)+1))</f>
        <v/>
      </c>
      <c r="P120" s="89"/>
      <c r="Q120" s="24">
        <v>119</v>
      </c>
      <c r="R120" s="89">
        <f t="shared" si="27"/>
        <v>11</v>
      </c>
      <c r="S120" s="25" t="str">
        <f t="shared" si="25"/>
        <v>Year 11</v>
      </c>
      <c r="T120" s="89" t="str">
        <f t="shared" si="38"/>
        <v/>
      </c>
      <c r="U120" s="89" t="str">
        <f t="shared" si="28"/>
        <v/>
      </c>
      <c r="V120" s="18" t="str">
        <f t="shared" si="39"/>
        <v xml:space="preserve">Month </v>
      </c>
      <c r="W120" s="96">
        <f t="shared" si="29"/>
        <v>3620</v>
      </c>
      <c r="X120" s="89" t="str">
        <f t="shared" si="42"/>
        <v/>
      </c>
      <c r="Y120" s="89" t="str">
        <f t="shared" si="43"/>
        <v/>
      </c>
      <c r="Z120" s="89" t="str">
        <f>IF(U120="","",IF(AND(I120=FALSE,J120="No"),Z119,IF(AND(M119&lt;&gt;0,N119="Yes"),ROUND(-PMT(LOOKUP(W119,'Interest Rates'!$A$5:$A$302,'Interest Rates'!$D$5:$D$302)/12,($D$12-T120+1),U120),0),IF(I120=TRUE,Z119,ROUND(-PMT(VLOOKUP(O120,$A$14:$D$28,4,FALSE)/12,($D$12-T120+1),U120),0)))))</f>
        <v/>
      </c>
      <c r="AA120" s="89" t="str">
        <f t="shared" si="30"/>
        <v/>
      </c>
      <c r="AB120" s="89" t="str">
        <f t="shared" si="31"/>
        <v/>
      </c>
      <c r="AC120" s="89"/>
      <c r="AD120" s="89"/>
      <c r="AE120" s="89"/>
      <c r="AF120" s="87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104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>
        <v>2651</v>
      </c>
      <c r="BD120" s="105" t="s">
        <v>177</v>
      </c>
    </row>
    <row r="121" spans="2:56" x14ac:dyDescent="0.3">
      <c r="B121" s="89"/>
      <c r="C121" s="89"/>
      <c r="D121" s="89"/>
      <c r="E121" s="89"/>
      <c r="F121" s="89"/>
      <c r="G121" s="89"/>
      <c r="H121" s="93" t="str">
        <f t="shared" si="35"/>
        <v/>
      </c>
      <c r="I121" s="89" t="str">
        <f t="shared" si="26"/>
        <v/>
      </c>
      <c r="J121" s="24" t="e">
        <f t="shared" si="36"/>
        <v>#N/A</v>
      </c>
      <c r="K121" s="89" t="str">
        <f t="shared" si="40"/>
        <v/>
      </c>
      <c r="L121" s="89" t="str">
        <f>IF(H121="","",COUNT($M$3:M121))</f>
        <v/>
      </c>
      <c r="M121" s="89" t="str">
        <f t="shared" si="41"/>
        <v/>
      </c>
      <c r="N121" s="24" t="e">
        <f t="shared" si="37"/>
        <v>#N/A</v>
      </c>
      <c r="O121" s="24" t="str">
        <f>IF(H121="","",IF(I121=TRUE,"",COUNTIF($I$2:I121,FALSE)+1))</f>
        <v/>
      </c>
      <c r="P121" s="89"/>
      <c r="Q121" s="87">
        <v>120</v>
      </c>
      <c r="R121" s="89">
        <f t="shared" si="27"/>
        <v>11</v>
      </c>
      <c r="S121" s="25" t="str">
        <f t="shared" si="25"/>
        <v>Year 11</v>
      </c>
      <c r="T121" s="89" t="str">
        <f t="shared" si="38"/>
        <v/>
      </c>
      <c r="U121" s="89" t="str">
        <f t="shared" si="28"/>
        <v/>
      </c>
      <c r="V121" s="18" t="str">
        <f t="shared" si="39"/>
        <v xml:space="preserve">Month </v>
      </c>
      <c r="W121" s="96">
        <f t="shared" si="29"/>
        <v>3650</v>
      </c>
      <c r="X121" s="89" t="str">
        <f t="shared" si="42"/>
        <v/>
      </c>
      <c r="Y121" s="89" t="str">
        <f t="shared" si="43"/>
        <v/>
      </c>
      <c r="Z121" s="89" t="str">
        <f>IF(U121="","",IF(AND(I121=FALSE,J121="No"),Z120,IF(AND(M120&lt;&gt;0,N120="Yes"),ROUND(-PMT(LOOKUP(W120,'Interest Rates'!$A$5:$A$302,'Interest Rates'!$D$5:$D$302)/12,($D$12-T121+1),U121),0),IF(I121=TRUE,Z120,ROUND(-PMT(VLOOKUP(O121,$A$14:$D$28,4,FALSE)/12,($D$12-T121+1),U121),0)))))</f>
        <v/>
      </c>
      <c r="AA121" s="89" t="str">
        <f t="shared" si="30"/>
        <v/>
      </c>
      <c r="AB121" s="89" t="str">
        <f t="shared" si="31"/>
        <v/>
      </c>
      <c r="AC121" s="89"/>
      <c r="AD121" s="89"/>
      <c r="AE121" s="89"/>
      <c r="AF121" s="87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104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>
        <v>2653</v>
      </c>
      <c r="BD121" s="105" t="s">
        <v>178</v>
      </c>
    </row>
    <row r="122" spans="2:56" x14ac:dyDescent="0.3">
      <c r="B122" s="89"/>
      <c r="C122" s="89"/>
      <c r="D122" s="89"/>
      <c r="E122" s="89"/>
      <c r="F122" s="89"/>
      <c r="G122" s="89"/>
      <c r="H122" s="93" t="str">
        <f t="shared" si="35"/>
        <v/>
      </c>
      <c r="I122" s="89" t="str">
        <f t="shared" si="26"/>
        <v/>
      </c>
      <c r="J122" s="24" t="e">
        <f t="shared" si="36"/>
        <v>#N/A</v>
      </c>
      <c r="K122" s="89" t="str">
        <f t="shared" si="40"/>
        <v/>
      </c>
      <c r="L122" s="89" t="str">
        <f>IF(H122="","",COUNT($M$3:M122))</f>
        <v/>
      </c>
      <c r="M122" s="89" t="str">
        <f t="shared" si="41"/>
        <v/>
      </c>
      <c r="N122" s="24" t="e">
        <f t="shared" si="37"/>
        <v>#N/A</v>
      </c>
      <c r="O122" s="24" t="str">
        <f>IF(H122="","",IF(I122=TRUE,"",COUNTIF($I$2:I122,FALSE)+1))</f>
        <v/>
      </c>
      <c r="P122" s="89"/>
      <c r="Q122" s="24">
        <v>121</v>
      </c>
      <c r="R122" s="89">
        <f t="shared" si="27"/>
        <v>11</v>
      </c>
      <c r="S122" s="25" t="str">
        <f t="shared" si="25"/>
        <v>Year 11</v>
      </c>
      <c r="T122" s="89" t="str">
        <f t="shared" si="38"/>
        <v/>
      </c>
      <c r="U122" s="89" t="str">
        <f t="shared" si="28"/>
        <v/>
      </c>
      <c r="V122" s="18" t="str">
        <f t="shared" si="39"/>
        <v xml:space="preserve">Month </v>
      </c>
      <c r="W122" s="96">
        <f t="shared" si="29"/>
        <v>3681</v>
      </c>
      <c r="X122" s="89" t="str">
        <f t="shared" si="42"/>
        <v/>
      </c>
      <c r="Y122" s="89" t="str">
        <f t="shared" si="43"/>
        <v/>
      </c>
      <c r="Z122" s="89" t="str">
        <f>IF(U122="","",IF(AND(I122=FALSE,J122="No"),Z121,IF(AND(M121&lt;&gt;0,N121="Yes"),ROUND(-PMT(LOOKUP(W121,'Interest Rates'!$A$5:$A$302,'Interest Rates'!$D$5:$D$302)/12,($D$12-T122+1),U122),0),IF(I122=TRUE,Z121,ROUND(-PMT(VLOOKUP(O122,$A$14:$D$28,4,FALSE)/12,($D$12-T122+1),U122),0)))))</f>
        <v/>
      </c>
      <c r="AA122" s="89" t="str">
        <f t="shared" si="30"/>
        <v/>
      </c>
      <c r="AB122" s="89" t="str">
        <f t="shared" si="31"/>
        <v/>
      </c>
      <c r="AC122" s="89"/>
      <c r="AD122" s="89"/>
      <c r="AE122" s="89"/>
      <c r="AF122" s="87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104"/>
      <c r="AS122" s="89"/>
      <c r="AT122" s="89"/>
      <c r="AU122" s="89"/>
      <c r="AV122" s="89"/>
      <c r="AW122" s="89"/>
      <c r="AX122" s="89"/>
      <c r="AY122" s="89"/>
      <c r="AZ122" s="89"/>
      <c r="BA122" s="89"/>
      <c r="BB122" s="89"/>
      <c r="BC122" s="89">
        <v>2662</v>
      </c>
      <c r="BD122" s="105" t="s">
        <v>179</v>
      </c>
    </row>
    <row r="123" spans="2:56" x14ac:dyDescent="0.3">
      <c r="B123" s="89"/>
      <c r="C123" s="89"/>
      <c r="D123" s="89"/>
      <c r="E123" s="89"/>
      <c r="F123" s="89"/>
      <c r="G123" s="89"/>
      <c r="H123" s="93" t="str">
        <f t="shared" si="35"/>
        <v/>
      </c>
      <c r="I123" s="89" t="str">
        <f t="shared" si="26"/>
        <v/>
      </c>
      <c r="J123" s="24" t="e">
        <f t="shared" si="36"/>
        <v>#N/A</v>
      </c>
      <c r="K123" s="89" t="str">
        <f t="shared" si="40"/>
        <v/>
      </c>
      <c r="L123" s="89" t="str">
        <f>IF(H123="","",COUNT($M$3:M123))</f>
        <v/>
      </c>
      <c r="M123" s="89" t="str">
        <f t="shared" si="41"/>
        <v/>
      </c>
      <c r="N123" s="24" t="e">
        <f t="shared" si="37"/>
        <v>#N/A</v>
      </c>
      <c r="O123" s="24" t="str">
        <f>IF(H123="","",IF(I123=TRUE,"",COUNTIF($I$2:I123,FALSE)+1))</f>
        <v/>
      </c>
      <c r="P123" s="89"/>
      <c r="Q123" s="87">
        <v>122</v>
      </c>
      <c r="R123" s="89">
        <f t="shared" si="27"/>
        <v>11</v>
      </c>
      <c r="S123" s="25" t="str">
        <f t="shared" si="25"/>
        <v>Year 11</v>
      </c>
      <c r="T123" s="89" t="str">
        <f t="shared" si="38"/>
        <v/>
      </c>
      <c r="U123" s="89" t="str">
        <f t="shared" si="28"/>
        <v/>
      </c>
      <c r="V123" s="18" t="str">
        <f t="shared" si="39"/>
        <v xml:space="preserve">Month </v>
      </c>
      <c r="W123" s="96">
        <f t="shared" si="29"/>
        <v>3712</v>
      </c>
      <c r="X123" s="89" t="str">
        <f t="shared" si="42"/>
        <v/>
      </c>
      <c r="Y123" s="89" t="str">
        <f t="shared" si="43"/>
        <v/>
      </c>
      <c r="Z123" s="89" t="str">
        <f>IF(U123="","",IF(AND(I123=FALSE,J123="No"),Z122,IF(AND(M122&lt;&gt;0,N122="Yes"),ROUND(-PMT(LOOKUP(W122,'Interest Rates'!$A$5:$A$302,'Interest Rates'!$D$5:$D$302)/12,($D$12-T123+1),U123),0),IF(I123=TRUE,Z122,ROUND(-PMT(VLOOKUP(O123,$A$14:$D$28,4,FALSE)/12,($D$12-T123+1),U123),0)))))</f>
        <v/>
      </c>
      <c r="AA123" s="89" t="str">
        <f t="shared" si="30"/>
        <v/>
      </c>
      <c r="AB123" s="89" t="str">
        <f t="shared" si="31"/>
        <v/>
      </c>
      <c r="AC123" s="89"/>
      <c r="AD123" s="89"/>
      <c r="AE123" s="89"/>
      <c r="AF123" s="87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104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9">
        <v>2672</v>
      </c>
      <c r="BD123" s="105" t="s">
        <v>180</v>
      </c>
    </row>
    <row r="124" spans="2:56" x14ac:dyDescent="0.3">
      <c r="B124" s="89"/>
      <c r="C124" s="89"/>
      <c r="D124" s="89"/>
      <c r="E124" s="89"/>
      <c r="F124" s="89"/>
      <c r="G124" s="89"/>
      <c r="H124" s="93" t="str">
        <f t="shared" si="35"/>
        <v/>
      </c>
      <c r="I124" s="89" t="str">
        <f t="shared" si="26"/>
        <v/>
      </c>
      <c r="J124" s="24" t="e">
        <f t="shared" si="36"/>
        <v>#N/A</v>
      </c>
      <c r="K124" s="89" t="str">
        <f t="shared" si="40"/>
        <v/>
      </c>
      <c r="L124" s="89" t="str">
        <f>IF(H124="","",COUNT($M$3:M124))</f>
        <v/>
      </c>
      <c r="M124" s="89" t="str">
        <f t="shared" si="41"/>
        <v/>
      </c>
      <c r="N124" s="24" t="e">
        <f t="shared" si="37"/>
        <v>#N/A</v>
      </c>
      <c r="O124" s="24" t="str">
        <f>IF(H124="","",IF(I124=TRUE,"",COUNTIF($I$2:I124,FALSE)+1))</f>
        <v/>
      </c>
      <c r="P124" s="89"/>
      <c r="Q124" s="24">
        <v>123</v>
      </c>
      <c r="R124" s="89">
        <f t="shared" si="27"/>
        <v>11</v>
      </c>
      <c r="S124" s="25" t="str">
        <f t="shared" si="25"/>
        <v>Year 11</v>
      </c>
      <c r="T124" s="89" t="str">
        <f t="shared" si="38"/>
        <v/>
      </c>
      <c r="U124" s="89" t="str">
        <f t="shared" si="28"/>
        <v/>
      </c>
      <c r="V124" s="18" t="str">
        <f t="shared" si="39"/>
        <v xml:space="preserve">Month </v>
      </c>
      <c r="W124" s="96">
        <f t="shared" si="29"/>
        <v>3740</v>
      </c>
      <c r="X124" s="89" t="str">
        <f t="shared" si="42"/>
        <v/>
      </c>
      <c r="Y124" s="89" t="str">
        <f t="shared" si="43"/>
        <v/>
      </c>
      <c r="Z124" s="89" t="str">
        <f>IF(U124="","",IF(AND(I124=FALSE,J124="No"),Z123,IF(AND(M123&lt;&gt;0,N123="Yes"),ROUND(-PMT(LOOKUP(W123,'Interest Rates'!$A$5:$A$302,'Interest Rates'!$D$5:$D$302)/12,($D$12-T124+1),U124),0),IF(I124=TRUE,Z123,ROUND(-PMT(VLOOKUP(O124,$A$14:$D$28,4,FALSE)/12,($D$12-T124+1),U124),0)))))</f>
        <v/>
      </c>
      <c r="AA124" s="89" t="str">
        <f t="shared" si="30"/>
        <v/>
      </c>
      <c r="AB124" s="89" t="str">
        <f t="shared" si="31"/>
        <v/>
      </c>
      <c r="AC124" s="89"/>
      <c r="AD124" s="89"/>
      <c r="AE124" s="89"/>
      <c r="AF124" s="87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104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9">
        <v>2674</v>
      </c>
      <c r="BD124" s="105" t="s">
        <v>181</v>
      </c>
    </row>
    <row r="125" spans="2:56" x14ac:dyDescent="0.3">
      <c r="B125" s="89"/>
      <c r="C125" s="89"/>
      <c r="D125" s="89"/>
      <c r="E125" s="89"/>
      <c r="F125" s="89"/>
      <c r="G125" s="89"/>
      <c r="H125" s="93" t="str">
        <f t="shared" si="35"/>
        <v/>
      </c>
      <c r="I125" s="89" t="str">
        <f t="shared" si="26"/>
        <v/>
      </c>
      <c r="J125" s="24" t="e">
        <f t="shared" si="36"/>
        <v>#N/A</v>
      </c>
      <c r="K125" s="89" t="str">
        <f t="shared" si="40"/>
        <v/>
      </c>
      <c r="L125" s="89" t="str">
        <f>IF(H125="","",COUNT($M$3:M125))</f>
        <v/>
      </c>
      <c r="M125" s="89" t="str">
        <f t="shared" si="41"/>
        <v/>
      </c>
      <c r="N125" s="24" t="e">
        <f t="shared" si="37"/>
        <v>#N/A</v>
      </c>
      <c r="O125" s="24" t="str">
        <f>IF(H125="","",IF(I125=TRUE,"",COUNTIF($I$2:I125,FALSE)+1))</f>
        <v/>
      </c>
      <c r="P125" s="89"/>
      <c r="Q125" s="87">
        <v>124</v>
      </c>
      <c r="R125" s="89">
        <f t="shared" si="27"/>
        <v>12</v>
      </c>
      <c r="S125" s="25" t="str">
        <f t="shared" si="25"/>
        <v>Year 12</v>
      </c>
      <c r="T125" s="89" t="str">
        <f t="shared" si="38"/>
        <v/>
      </c>
      <c r="U125" s="89" t="str">
        <f t="shared" si="28"/>
        <v/>
      </c>
      <c r="V125" s="18" t="str">
        <f t="shared" si="39"/>
        <v xml:space="preserve">Month </v>
      </c>
      <c r="W125" s="96">
        <f t="shared" si="29"/>
        <v>3771</v>
      </c>
      <c r="X125" s="89" t="str">
        <f t="shared" si="42"/>
        <v/>
      </c>
      <c r="Y125" s="89" t="str">
        <f t="shared" si="43"/>
        <v/>
      </c>
      <c r="Z125" s="89" t="str">
        <f>IF(U125="","",IF(AND(I125=FALSE,J125="No"),Z124,IF(AND(M124&lt;&gt;0,N124="Yes"),ROUND(-PMT(LOOKUP(W124,'Interest Rates'!$A$5:$A$302,'Interest Rates'!$D$5:$D$302)/12,($D$12-T125+1),U125),0),IF(I125=TRUE,Z124,ROUND(-PMT(VLOOKUP(O125,$A$14:$D$28,4,FALSE)/12,($D$12-T125+1),U125),0)))))</f>
        <v/>
      </c>
      <c r="AA125" s="89" t="str">
        <f t="shared" si="30"/>
        <v/>
      </c>
      <c r="AB125" s="89" t="str">
        <f t="shared" si="31"/>
        <v/>
      </c>
      <c r="AC125" s="89"/>
      <c r="AD125" s="89"/>
      <c r="AE125" s="89"/>
      <c r="AF125" s="87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104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>
        <v>2680</v>
      </c>
      <c r="BD125" s="105" t="s">
        <v>182</v>
      </c>
    </row>
    <row r="126" spans="2:56" x14ac:dyDescent="0.3">
      <c r="B126" s="89"/>
      <c r="C126" s="89"/>
      <c r="D126" s="89"/>
      <c r="E126" s="89"/>
      <c r="F126" s="89"/>
      <c r="G126" s="89"/>
      <c r="H126" s="93" t="str">
        <f t="shared" si="35"/>
        <v/>
      </c>
      <c r="I126" s="89" t="str">
        <f t="shared" si="26"/>
        <v/>
      </c>
      <c r="J126" s="24" t="e">
        <f t="shared" si="36"/>
        <v>#N/A</v>
      </c>
      <c r="K126" s="89" t="str">
        <f t="shared" si="40"/>
        <v/>
      </c>
      <c r="L126" s="89" t="str">
        <f>IF(H126="","",COUNT($M$3:M126))</f>
        <v/>
      </c>
      <c r="M126" s="89" t="str">
        <f t="shared" si="41"/>
        <v/>
      </c>
      <c r="N126" s="24" t="e">
        <f t="shared" si="37"/>
        <v>#N/A</v>
      </c>
      <c r="O126" s="24" t="str">
        <f>IF(H126="","",IF(I126=TRUE,"",COUNTIF($I$2:I126,FALSE)+1))</f>
        <v/>
      </c>
      <c r="P126" s="89"/>
      <c r="Q126" s="24">
        <v>125</v>
      </c>
      <c r="R126" s="89">
        <f t="shared" si="27"/>
        <v>12</v>
      </c>
      <c r="S126" s="25" t="str">
        <f t="shared" si="25"/>
        <v>Year 12</v>
      </c>
      <c r="T126" s="89" t="str">
        <f t="shared" si="38"/>
        <v/>
      </c>
      <c r="U126" s="89" t="str">
        <f t="shared" si="28"/>
        <v/>
      </c>
      <c r="V126" s="18" t="str">
        <f t="shared" si="39"/>
        <v xml:space="preserve">Month </v>
      </c>
      <c r="W126" s="96">
        <f t="shared" si="29"/>
        <v>3801</v>
      </c>
      <c r="X126" s="89" t="str">
        <f t="shared" si="42"/>
        <v/>
      </c>
      <c r="Y126" s="89" t="str">
        <f t="shared" si="43"/>
        <v/>
      </c>
      <c r="Z126" s="89" t="str">
        <f>IF(U126="","",IF(AND(I126=FALSE,J126="No"),Z125,IF(AND(M125&lt;&gt;0,N125="Yes"),ROUND(-PMT(LOOKUP(W125,'Interest Rates'!$A$5:$A$302,'Interest Rates'!$D$5:$D$302)/12,($D$12-T126+1),U126),0),IF(I126=TRUE,Z125,ROUND(-PMT(VLOOKUP(O126,$A$14:$D$28,4,FALSE)/12,($D$12-T126+1),U126),0)))))</f>
        <v/>
      </c>
      <c r="AA126" s="89" t="str">
        <f t="shared" si="30"/>
        <v/>
      </c>
      <c r="AB126" s="89" t="str">
        <f t="shared" si="31"/>
        <v/>
      </c>
      <c r="AC126" s="89"/>
      <c r="AD126" s="89"/>
      <c r="AE126" s="89"/>
      <c r="AF126" s="87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104"/>
      <c r="AS126" s="89"/>
      <c r="AT126" s="89"/>
      <c r="AU126" s="89"/>
      <c r="AV126" s="89"/>
      <c r="AW126" s="89"/>
      <c r="AX126" s="89"/>
      <c r="AY126" s="89"/>
      <c r="AZ126" s="89"/>
      <c r="BA126" s="89"/>
      <c r="BB126" s="89"/>
      <c r="BC126" s="89">
        <v>2682</v>
      </c>
      <c r="BD126" s="105" t="s">
        <v>183</v>
      </c>
    </row>
    <row r="127" spans="2:56" x14ac:dyDescent="0.3">
      <c r="B127" s="89"/>
      <c r="C127" s="89"/>
      <c r="D127" s="89"/>
      <c r="E127" s="89"/>
      <c r="F127" s="89"/>
      <c r="G127" s="89"/>
      <c r="H127" s="93" t="str">
        <f t="shared" si="35"/>
        <v/>
      </c>
      <c r="I127" s="89" t="str">
        <f t="shared" si="26"/>
        <v/>
      </c>
      <c r="J127" s="24" t="e">
        <f t="shared" si="36"/>
        <v>#N/A</v>
      </c>
      <c r="K127" s="89" t="str">
        <f t="shared" si="40"/>
        <v/>
      </c>
      <c r="L127" s="89" t="str">
        <f>IF(H127="","",COUNT($M$3:M127))</f>
        <v/>
      </c>
      <c r="M127" s="89" t="str">
        <f t="shared" si="41"/>
        <v/>
      </c>
      <c r="N127" s="24" t="e">
        <f t="shared" si="37"/>
        <v>#N/A</v>
      </c>
      <c r="O127" s="24" t="str">
        <f>IF(H127="","",IF(I127=TRUE,"",COUNTIF($I$2:I127,FALSE)+1))</f>
        <v/>
      </c>
      <c r="P127" s="89"/>
      <c r="Q127" s="87">
        <v>126</v>
      </c>
      <c r="R127" s="89">
        <f t="shared" si="27"/>
        <v>12</v>
      </c>
      <c r="S127" s="25" t="str">
        <f t="shared" si="25"/>
        <v>Year 12</v>
      </c>
      <c r="T127" s="89" t="str">
        <f t="shared" si="38"/>
        <v/>
      </c>
      <c r="U127" s="89" t="str">
        <f t="shared" si="28"/>
        <v/>
      </c>
      <c r="V127" s="18" t="str">
        <f t="shared" si="39"/>
        <v xml:space="preserve">Month </v>
      </c>
      <c r="W127" s="96">
        <f t="shared" si="29"/>
        <v>3832</v>
      </c>
      <c r="X127" s="89" t="str">
        <f t="shared" si="42"/>
        <v/>
      </c>
      <c r="Y127" s="89" t="str">
        <f t="shared" si="43"/>
        <v/>
      </c>
      <c r="Z127" s="89" t="str">
        <f>IF(U127="","",IF(AND(I127=FALSE,J127="No"),Z126,IF(AND(M126&lt;&gt;0,N126="Yes"),ROUND(-PMT(LOOKUP(W126,'Interest Rates'!$A$5:$A$302,'Interest Rates'!$D$5:$D$302)/12,($D$12-T127+1),U127),0),IF(I127=TRUE,Z126,ROUND(-PMT(VLOOKUP(O127,$A$14:$D$28,4,FALSE)/12,($D$12-T127+1),U127),0)))))</f>
        <v/>
      </c>
      <c r="AA127" s="89" t="str">
        <f t="shared" si="30"/>
        <v/>
      </c>
      <c r="AB127" s="89" t="str">
        <f t="shared" si="31"/>
        <v/>
      </c>
      <c r="AC127" s="89"/>
      <c r="AD127" s="89"/>
      <c r="AE127" s="89"/>
      <c r="AF127" s="87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104"/>
      <c r="AS127" s="89"/>
      <c r="AT127" s="89"/>
      <c r="AU127" s="89"/>
      <c r="AV127" s="89"/>
      <c r="AW127" s="89"/>
      <c r="AX127" s="89"/>
      <c r="AY127" s="89"/>
      <c r="AZ127" s="89"/>
      <c r="BA127" s="89"/>
      <c r="BB127" s="89"/>
      <c r="BC127" s="89">
        <v>2689</v>
      </c>
      <c r="BD127" s="105" t="s">
        <v>184</v>
      </c>
    </row>
    <row r="128" spans="2:56" x14ac:dyDescent="0.3">
      <c r="B128" s="89"/>
      <c r="C128" s="89"/>
      <c r="D128" s="89"/>
      <c r="E128" s="89"/>
      <c r="F128" s="89"/>
      <c r="G128" s="89"/>
      <c r="H128" s="93" t="str">
        <f t="shared" si="35"/>
        <v/>
      </c>
      <c r="I128" s="89" t="str">
        <f t="shared" si="26"/>
        <v/>
      </c>
      <c r="J128" s="24" t="e">
        <f t="shared" si="36"/>
        <v>#N/A</v>
      </c>
      <c r="K128" s="89" t="str">
        <f t="shared" si="40"/>
        <v/>
      </c>
      <c r="L128" s="89" t="str">
        <f>IF(H128="","",COUNT($M$3:M128))</f>
        <v/>
      </c>
      <c r="M128" s="89" t="str">
        <f t="shared" si="41"/>
        <v/>
      </c>
      <c r="N128" s="24" t="e">
        <f t="shared" si="37"/>
        <v>#N/A</v>
      </c>
      <c r="O128" s="24" t="str">
        <f>IF(H128="","",IF(I128=TRUE,"",COUNTIF($I$2:I128,FALSE)+1))</f>
        <v/>
      </c>
      <c r="P128" s="89"/>
      <c r="Q128" s="24">
        <v>127</v>
      </c>
      <c r="R128" s="89">
        <f t="shared" si="27"/>
        <v>12</v>
      </c>
      <c r="S128" s="25" t="str">
        <f t="shared" si="25"/>
        <v>Year 12</v>
      </c>
      <c r="T128" s="89" t="str">
        <f t="shared" si="38"/>
        <v/>
      </c>
      <c r="U128" s="89" t="str">
        <f t="shared" si="28"/>
        <v/>
      </c>
      <c r="V128" s="18" t="str">
        <f t="shared" si="39"/>
        <v xml:space="preserve">Month </v>
      </c>
      <c r="W128" s="96">
        <f t="shared" si="29"/>
        <v>3862</v>
      </c>
      <c r="X128" s="89" t="str">
        <f t="shared" si="42"/>
        <v/>
      </c>
      <c r="Y128" s="89" t="str">
        <f t="shared" si="43"/>
        <v/>
      </c>
      <c r="Z128" s="89" t="str">
        <f>IF(U128="","",IF(AND(I128=FALSE,J128="No"),Z127,IF(AND(M127&lt;&gt;0,N127="Yes"),ROUND(-PMT(LOOKUP(W127,'Interest Rates'!$A$5:$A$302,'Interest Rates'!$D$5:$D$302)/12,($D$12-T128+1),U128),0),IF(I128=TRUE,Z127,ROUND(-PMT(VLOOKUP(O128,$A$14:$D$28,4,FALSE)/12,($D$12-T128+1),U128),0)))))</f>
        <v/>
      </c>
      <c r="AA128" s="89" t="str">
        <f t="shared" si="30"/>
        <v/>
      </c>
      <c r="AB128" s="89" t="str">
        <f t="shared" si="31"/>
        <v/>
      </c>
      <c r="AC128" s="89"/>
      <c r="AD128" s="89"/>
      <c r="AE128" s="89"/>
      <c r="AF128" s="87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104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>
        <v>2692</v>
      </c>
      <c r="BD128" s="105" t="s">
        <v>185</v>
      </c>
    </row>
    <row r="129" spans="2:56" x14ac:dyDescent="0.3">
      <c r="B129" s="89"/>
      <c r="C129" s="89"/>
      <c r="D129" s="89"/>
      <c r="E129" s="89"/>
      <c r="F129" s="89"/>
      <c r="G129" s="89"/>
      <c r="H129" s="93" t="str">
        <f t="shared" si="35"/>
        <v/>
      </c>
      <c r="I129" s="89" t="str">
        <f t="shared" si="26"/>
        <v/>
      </c>
      <c r="J129" s="24" t="e">
        <f t="shared" si="36"/>
        <v>#N/A</v>
      </c>
      <c r="K129" s="89" t="str">
        <f t="shared" si="40"/>
        <v/>
      </c>
      <c r="L129" s="89" t="str">
        <f>IF(H129="","",COUNT($M$3:M129))</f>
        <v/>
      </c>
      <c r="M129" s="89" t="str">
        <f t="shared" si="41"/>
        <v/>
      </c>
      <c r="N129" s="24" t="e">
        <f t="shared" si="37"/>
        <v>#N/A</v>
      </c>
      <c r="O129" s="24" t="str">
        <f>IF(H129="","",IF(I129=TRUE,"",COUNTIF($I$2:I129,FALSE)+1))</f>
        <v/>
      </c>
      <c r="P129" s="89"/>
      <c r="Q129" s="87">
        <v>128</v>
      </c>
      <c r="R129" s="89">
        <f t="shared" si="27"/>
        <v>12</v>
      </c>
      <c r="S129" s="25" t="str">
        <f t="shared" si="25"/>
        <v>Year 12</v>
      </c>
      <c r="T129" s="89" t="str">
        <f t="shared" si="38"/>
        <v/>
      </c>
      <c r="U129" s="89" t="str">
        <f t="shared" si="28"/>
        <v/>
      </c>
      <c r="V129" s="18" t="str">
        <f t="shared" si="39"/>
        <v xml:space="preserve">Month </v>
      </c>
      <c r="W129" s="96">
        <f t="shared" si="29"/>
        <v>3893</v>
      </c>
      <c r="X129" s="89" t="str">
        <f t="shared" si="42"/>
        <v/>
      </c>
      <c r="Y129" s="89" t="str">
        <f t="shared" si="43"/>
        <v/>
      </c>
      <c r="Z129" s="89" t="str">
        <f>IF(U129="","",IF(AND(I129=FALSE,J129="No"),Z128,IF(AND(M128&lt;&gt;0,N128="Yes"),ROUND(-PMT(LOOKUP(W128,'Interest Rates'!$A$5:$A$302,'Interest Rates'!$D$5:$D$302)/12,($D$12-T129+1),U129),0),IF(I129=TRUE,Z128,ROUND(-PMT(VLOOKUP(O129,$A$14:$D$28,4,FALSE)/12,($D$12-T129+1),U129),0)))))</f>
        <v/>
      </c>
      <c r="AA129" s="89" t="str">
        <f t="shared" si="30"/>
        <v/>
      </c>
      <c r="AB129" s="89" t="str">
        <f t="shared" si="31"/>
        <v/>
      </c>
      <c r="AC129" s="89"/>
      <c r="AD129" s="89"/>
      <c r="AE129" s="89"/>
      <c r="AF129" s="87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104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89">
        <v>3010</v>
      </c>
      <c r="BD129" s="105" t="s">
        <v>252</v>
      </c>
    </row>
    <row r="130" spans="2:56" x14ac:dyDescent="0.3">
      <c r="B130" s="89"/>
      <c r="C130" s="89"/>
      <c r="D130" s="89"/>
      <c r="E130" s="89"/>
      <c r="F130" s="89"/>
      <c r="G130" s="89"/>
      <c r="H130" s="93" t="str">
        <f t="shared" ref="H130:H150" si="44">IFERROR(LOOKUP(W130,$B$21:$C$33,$G$21:$G$33),"")</f>
        <v/>
      </c>
      <c r="I130" s="89" t="str">
        <f t="shared" si="26"/>
        <v/>
      </c>
      <c r="J130" s="24" t="e">
        <f t="shared" ref="J130:J150" si="45">IF(I130=TRUE,"",LOOKUP(W130,$B$21:$C$33,$E$21:$E$33))</f>
        <v>#N/A</v>
      </c>
      <c r="K130" s="89" t="str">
        <f t="shared" si="40"/>
        <v/>
      </c>
      <c r="L130" s="89" t="str">
        <f>IF(H130="","",COUNT($M$3:M130))</f>
        <v/>
      </c>
      <c r="M130" s="89" t="str">
        <f t="shared" si="41"/>
        <v/>
      </c>
      <c r="N130" s="24" t="e">
        <f t="shared" ref="N130:N150" si="46">IF(M130=0,"",VLOOKUP(W130,$B$35:$E$46,4,FALSE))</f>
        <v>#N/A</v>
      </c>
      <c r="O130" s="24" t="str">
        <f>IF(H130="","",IF(I130=TRUE,"",COUNTIF($I$2:I130,FALSE)+1))</f>
        <v/>
      </c>
      <c r="P130" s="89"/>
      <c r="Q130" s="24">
        <v>129</v>
      </c>
      <c r="R130" s="89">
        <f t="shared" si="27"/>
        <v>12</v>
      </c>
      <c r="S130" s="25" t="str">
        <f t="shared" si="25"/>
        <v>Year 12</v>
      </c>
      <c r="T130" s="89" t="str">
        <f t="shared" ref="T130:T150" si="47">IF(Q130&lt;=$D$12,Q130,"")</f>
        <v/>
      </c>
      <c r="U130" s="89" t="str">
        <f t="shared" si="28"/>
        <v/>
      </c>
      <c r="V130" s="18" t="str">
        <f t="shared" ref="V130:V150" si="48">IF(T130&lt;=$D$12,"Month "&amp;T130,"")</f>
        <v xml:space="preserve">Month </v>
      </c>
      <c r="W130" s="96">
        <f t="shared" si="29"/>
        <v>3924</v>
      </c>
      <c r="X130" s="89" t="str">
        <f t="shared" si="42"/>
        <v/>
      </c>
      <c r="Y130" s="89" t="str">
        <f t="shared" si="43"/>
        <v/>
      </c>
      <c r="Z130" s="89" t="str">
        <f>IF(U130="","",IF(AND(I130=FALSE,J130="No"),Z129,IF(AND(M129&lt;&gt;0,N129="Yes"),ROUND(-PMT(LOOKUP(W129,'Interest Rates'!$A$5:$A$302,'Interest Rates'!$D$5:$D$302)/12,($D$12-T130+1),U130),0),IF(I130=TRUE,Z129,ROUND(-PMT(VLOOKUP(O130,$A$14:$D$28,4,FALSE)/12,($D$12-T130+1),U130),0)))))</f>
        <v/>
      </c>
      <c r="AA130" s="89" t="str">
        <f t="shared" si="30"/>
        <v/>
      </c>
      <c r="AB130" s="89" t="str">
        <f t="shared" si="31"/>
        <v/>
      </c>
      <c r="AC130" s="89"/>
      <c r="AD130" s="89"/>
      <c r="AE130" s="89"/>
      <c r="AF130" s="87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104"/>
      <c r="AS130" s="89"/>
      <c r="AT130" s="89"/>
      <c r="AU130" s="89"/>
      <c r="AV130" s="89"/>
      <c r="AW130" s="89"/>
      <c r="AX130" s="89"/>
      <c r="AY130" s="89"/>
      <c r="AZ130" s="89"/>
      <c r="BA130" s="89"/>
      <c r="BB130" s="89"/>
      <c r="BC130" s="89">
        <v>3015</v>
      </c>
      <c r="BD130" s="105" t="s">
        <v>253</v>
      </c>
    </row>
    <row r="131" spans="2:56" x14ac:dyDescent="0.3">
      <c r="B131" s="89"/>
      <c r="C131" s="89"/>
      <c r="D131" s="89"/>
      <c r="E131" s="89"/>
      <c r="F131" s="89"/>
      <c r="G131" s="89"/>
      <c r="H131" s="93" t="str">
        <f t="shared" si="44"/>
        <v/>
      </c>
      <c r="I131" s="89" t="str">
        <f t="shared" si="26"/>
        <v/>
      </c>
      <c r="J131" s="24" t="e">
        <f t="shared" si="45"/>
        <v>#N/A</v>
      </c>
      <c r="K131" s="89" t="str">
        <f t="shared" si="40"/>
        <v/>
      </c>
      <c r="L131" s="89" t="str">
        <f>IF(H131="","",COUNT($M$3:M131))</f>
        <v/>
      </c>
      <c r="M131" s="89" t="str">
        <f t="shared" si="41"/>
        <v/>
      </c>
      <c r="N131" s="24" t="e">
        <f t="shared" si="46"/>
        <v>#N/A</v>
      </c>
      <c r="O131" s="24" t="str">
        <f>IF(H131="","",IF(I131=TRUE,"",COUNTIF($I$2:I131,FALSE)+1))</f>
        <v/>
      </c>
      <c r="P131" s="89"/>
      <c r="Q131" s="87">
        <v>130</v>
      </c>
      <c r="R131" s="89">
        <f t="shared" si="27"/>
        <v>12</v>
      </c>
      <c r="S131" s="25" t="str">
        <f t="shared" ref="S131:S150" si="49">"Year "&amp;R131</f>
        <v>Year 12</v>
      </c>
      <c r="T131" s="89" t="str">
        <f t="shared" si="47"/>
        <v/>
      </c>
      <c r="U131" s="89" t="str">
        <f t="shared" si="28"/>
        <v/>
      </c>
      <c r="V131" s="18" t="str">
        <f t="shared" si="48"/>
        <v xml:space="preserve">Month </v>
      </c>
      <c r="W131" s="96">
        <f t="shared" si="29"/>
        <v>3954</v>
      </c>
      <c r="X131" s="89" t="str">
        <f t="shared" ref="X131" si="50">IFERROR(IF(I131=TRUE,ROUND(U131*H131,2)*(W131-W130),ROUND(U131*H130,2)*(LOOKUP(W130,$B$21:$C$33,$C$21:$C$33)-W130)+ROUND(U131*H131,2)*(W131-LOOKUP(W130,$B$21:$C$33,$C$21:$C$33))),"")</f>
        <v/>
      </c>
      <c r="Y131" s="89" t="str">
        <f t="shared" ref="Y131" si="51">IFERROR(IF(U131&lt;Z130,U131,IF(T131=$D$12,U131,Z131-X131+M131)),"")</f>
        <v/>
      </c>
      <c r="Z131" s="89" t="str">
        <f>IF(U131="","",IF(AND(I131=FALSE,J131="No"),Z130,IF(AND(M130&lt;&gt;0,N130="Yes"),ROUND(-PMT(LOOKUP(W130,'Interest Rates'!$A$5:$A$302,'Interest Rates'!$D$5:$D$302)/12,($D$12-T131+1),U131),0),IF(I131=TRUE,Z130,ROUND(-PMT(VLOOKUP(O131,$A$14:$D$28,4,FALSE)/12,($D$12-T131+1),U131),0)))))</f>
        <v/>
      </c>
      <c r="AA131" s="89" t="str">
        <f t="shared" si="30"/>
        <v/>
      </c>
      <c r="AB131" s="89" t="str">
        <f t="shared" si="31"/>
        <v/>
      </c>
      <c r="AC131" s="89"/>
      <c r="AD131" s="89"/>
      <c r="AE131" s="89"/>
      <c r="AF131" s="87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104"/>
      <c r="AS131" s="89"/>
      <c r="AT131" s="89"/>
      <c r="AU131" s="89"/>
      <c r="AV131" s="89"/>
      <c r="AW131" s="89"/>
      <c r="AX131" s="89"/>
      <c r="AY131" s="89"/>
      <c r="AZ131" s="89"/>
      <c r="BA131" s="89"/>
      <c r="BB131" s="89"/>
      <c r="BC131" s="89">
        <v>3020</v>
      </c>
      <c r="BD131" s="105" t="s">
        <v>254</v>
      </c>
    </row>
    <row r="132" spans="2:56" x14ac:dyDescent="0.3">
      <c r="B132" s="89"/>
      <c r="C132" s="89"/>
      <c r="D132" s="89"/>
      <c r="E132" s="89"/>
      <c r="F132" s="89"/>
      <c r="G132" s="89"/>
      <c r="H132" s="93" t="str">
        <f t="shared" si="44"/>
        <v/>
      </c>
      <c r="I132" s="89" t="str">
        <f t="shared" ref="I132:I150" si="52">IF(H132="","",H132=H131)</f>
        <v/>
      </c>
      <c r="J132" s="24" t="e">
        <f t="shared" si="45"/>
        <v>#N/A</v>
      </c>
      <c r="K132" s="89" t="str">
        <f t="shared" ref="K132:K150" si="53">IF(H132="","",IFERROR(LOOKUP(W132,$B$37:$C$46,$D$37:$D$46),0))</f>
        <v/>
      </c>
      <c r="L132" s="89" t="str">
        <f>IF(H132="","",COUNT($M$3:M132))</f>
        <v/>
      </c>
      <c r="M132" s="89" t="str">
        <f t="shared" ref="M132:M150" si="54">IF(H132="","",IF(K132=K131,0,LOOKUP(W132,$B$37:$C$46,$D$37:$D$46)))</f>
        <v/>
      </c>
      <c r="N132" s="24" t="e">
        <f t="shared" si="46"/>
        <v>#N/A</v>
      </c>
      <c r="O132" s="24" t="str">
        <f>IF(H132="","",IF(I132=TRUE,"",COUNTIF($I$2:I132,FALSE)+1))</f>
        <v/>
      </c>
      <c r="P132" s="89"/>
      <c r="Q132" s="24">
        <v>131</v>
      </c>
      <c r="R132" s="89">
        <f t="shared" ref="R132:R150" si="55">IFERROR(IF(MONTH(W132)=4,R131+1,R131),"")</f>
        <v>12</v>
      </c>
      <c r="S132" s="25" t="str">
        <f t="shared" si="49"/>
        <v>Year 12</v>
      </c>
      <c r="T132" s="89" t="str">
        <f t="shared" si="47"/>
        <v/>
      </c>
      <c r="U132" s="89" t="str">
        <f t="shared" ref="U132:U150" si="56">IFERROR(IF(U131-Y131&lt;=0,"",U131-Y131),"")</f>
        <v/>
      </c>
      <c r="V132" s="18" t="str">
        <f t="shared" si="48"/>
        <v xml:space="preserve">Month </v>
      </c>
      <c r="W132" s="96">
        <f t="shared" ref="W132:W150" si="57">IF(V132="","",EDATE(W131,1))</f>
        <v>3985</v>
      </c>
      <c r="X132" s="89" t="str">
        <f t="shared" ref="X132:X150" si="58">IFERROR(IF(I132=TRUE,ROUND(U132*H132,2)*(W132-W131),ROUND(U132*H131,2)*(LOOKUP(W131,$B$21:$C$33,$C$21:$C$33)-W131)+ROUND(U132*H132,2)*(W132-LOOKUP(W131,$B$21:$C$33,$C$21:$C$33))),"")</f>
        <v/>
      </c>
      <c r="Y132" s="89" t="str">
        <f t="shared" ref="Y132:Y150" si="59">IFERROR(IF(U132&lt;Z131,U132,IF(T132=$D$12,U132,Z132-X132+M132)),"")</f>
        <v/>
      </c>
      <c r="Z132" s="89" t="str">
        <f>IF(U132="","",IF(AND(I132=FALSE,J132="No"),Z131,IF(AND(M131&lt;&gt;0,N131="Yes"),ROUND(-PMT(LOOKUP(W131,'Interest Rates'!$A$5:$A$302,'Interest Rates'!$D$5:$D$302)/12,($D$12-T132+1),U132),0),IF(I132=TRUE,Z131,ROUND(-PMT(VLOOKUP(O132,$A$14:$D$28,4,FALSE)/12,($D$12-T132+1),U132),0)))))</f>
        <v/>
      </c>
      <c r="AA132" s="89" t="str">
        <f t="shared" ref="AA132:AA150" si="60">IFERROR(IF(U133&lt;Z132,Z131+U133,U132-Z132),"")</f>
        <v/>
      </c>
      <c r="AB132" s="89" t="str">
        <f t="shared" ref="AB132:AB150" si="61">IFERROR(X132+Y132,"")</f>
        <v/>
      </c>
      <c r="AC132" s="89"/>
      <c r="AD132" s="89"/>
      <c r="AE132" s="89"/>
      <c r="AF132" s="87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104"/>
      <c r="AS132" s="89"/>
      <c r="AT132" s="89"/>
      <c r="AU132" s="89"/>
      <c r="AV132" s="89"/>
      <c r="AW132" s="89"/>
      <c r="AX132" s="89"/>
      <c r="AY132" s="89"/>
      <c r="AZ132" s="89"/>
      <c r="BA132" s="89"/>
      <c r="BB132" s="89"/>
      <c r="BC132" s="89">
        <v>3022</v>
      </c>
      <c r="BD132" s="105" t="s">
        <v>255</v>
      </c>
    </row>
    <row r="133" spans="2:56" x14ac:dyDescent="0.3">
      <c r="B133" s="89"/>
      <c r="C133" s="89"/>
      <c r="D133" s="89"/>
      <c r="E133" s="89"/>
      <c r="F133" s="89"/>
      <c r="G133" s="89"/>
      <c r="H133" s="93" t="str">
        <f t="shared" si="44"/>
        <v/>
      </c>
      <c r="I133" s="89" t="str">
        <f t="shared" si="52"/>
        <v/>
      </c>
      <c r="J133" s="24" t="e">
        <f t="shared" si="45"/>
        <v>#N/A</v>
      </c>
      <c r="K133" s="89" t="str">
        <f t="shared" si="53"/>
        <v/>
      </c>
      <c r="L133" s="89" t="str">
        <f>IF(H133="","",COUNT($M$3:M133))</f>
        <v/>
      </c>
      <c r="M133" s="89" t="str">
        <f t="shared" si="54"/>
        <v/>
      </c>
      <c r="N133" s="24" t="e">
        <f t="shared" si="46"/>
        <v>#N/A</v>
      </c>
      <c r="O133" s="24" t="str">
        <f>IF(H133="","",IF(I133=TRUE,"",COUNTIF($I$2:I133,FALSE)+1))</f>
        <v/>
      </c>
      <c r="P133" s="89"/>
      <c r="Q133" s="87">
        <v>132</v>
      </c>
      <c r="R133" s="89">
        <f t="shared" si="55"/>
        <v>12</v>
      </c>
      <c r="S133" s="25" t="str">
        <f t="shared" si="49"/>
        <v>Year 12</v>
      </c>
      <c r="T133" s="89" t="str">
        <f t="shared" si="47"/>
        <v/>
      </c>
      <c r="U133" s="89" t="str">
        <f t="shared" si="56"/>
        <v/>
      </c>
      <c r="V133" s="18" t="str">
        <f t="shared" si="48"/>
        <v xml:space="preserve">Month </v>
      </c>
      <c r="W133" s="96">
        <f t="shared" si="57"/>
        <v>4015</v>
      </c>
      <c r="X133" s="89" t="str">
        <f t="shared" si="58"/>
        <v/>
      </c>
      <c r="Y133" s="89" t="str">
        <f t="shared" si="59"/>
        <v/>
      </c>
      <c r="Z133" s="89" t="str">
        <f>IF(U133="","",IF(AND(I133=FALSE,J133="No"),Z132,IF(AND(M132&lt;&gt;0,N132="Yes"),ROUND(-PMT(LOOKUP(W132,'Interest Rates'!$A$5:$A$302,'Interest Rates'!$D$5:$D$302)/12,($D$12-T133+1),U133),0),IF(I133=TRUE,Z132,ROUND(-PMT(VLOOKUP(O133,$A$14:$D$28,4,FALSE)/12,($D$12-T133+1),U133),0)))))</f>
        <v/>
      </c>
      <c r="AA133" s="89" t="str">
        <f t="shared" si="60"/>
        <v/>
      </c>
      <c r="AB133" s="89" t="str">
        <f t="shared" si="61"/>
        <v/>
      </c>
      <c r="AC133" s="89"/>
      <c r="AD133" s="89"/>
      <c r="AE133" s="89"/>
      <c r="AF133" s="87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104"/>
      <c r="AS133" s="89"/>
      <c r="AT133" s="89"/>
      <c r="AU133" s="89"/>
      <c r="AV133" s="89"/>
      <c r="AW133" s="89"/>
      <c r="AX133" s="89"/>
      <c r="AY133" s="89"/>
      <c r="AZ133" s="89"/>
      <c r="BA133" s="89"/>
      <c r="BB133" s="89"/>
      <c r="BC133" s="89">
        <v>3023</v>
      </c>
      <c r="BD133" s="105" t="s">
        <v>256</v>
      </c>
    </row>
    <row r="134" spans="2:56" x14ac:dyDescent="0.3">
      <c r="B134" s="89"/>
      <c r="C134" s="89"/>
      <c r="D134" s="89"/>
      <c r="E134" s="89"/>
      <c r="F134" s="89"/>
      <c r="G134" s="89"/>
      <c r="H134" s="93" t="str">
        <f t="shared" si="44"/>
        <v/>
      </c>
      <c r="I134" s="89" t="str">
        <f t="shared" si="52"/>
        <v/>
      </c>
      <c r="J134" s="24" t="e">
        <f t="shared" si="45"/>
        <v>#N/A</v>
      </c>
      <c r="K134" s="89" t="str">
        <f t="shared" si="53"/>
        <v/>
      </c>
      <c r="L134" s="89" t="str">
        <f>IF(H134="","",COUNT($M$3:M134))</f>
        <v/>
      </c>
      <c r="M134" s="89" t="str">
        <f t="shared" si="54"/>
        <v/>
      </c>
      <c r="N134" s="24" t="e">
        <f t="shared" si="46"/>
        <v>#N/A</v>
      </c>
      <c r="O134" s="24" t="str">
        <f>IF(H134="","",IF(I134=TRUE,"",COUNTIF($I$2:I134,FALSE)+1))</f>
        <v/>
      </c>
      <c r="P134" s="89"/>
      <c r="Q134" s="24">
        <v>133</v>
      </c>
      <c r="R134" s="89">
        <f t="shared" si="55"/>
        <v>12</v>
      </c>
      <c r="S134" s="25" t="str">
        <f t="shared" si="49"/>
        <v>Year 12</v>
      </c>
      <c r="T134" s="89" t="str">
        <f t="shared" si="47"/>
        <v/>
      </c>
      <c r="U134" s="89" t="str">
        <f t="shared" si="56"/>
        <v/>
      </c>
      <c r="V134" s="18" t="str">
        <f t="shared" si="48"/>
        <v xml:space="preserve">Month </v>
      </c>
      <c r="W134" s="96">
        <f t="shared" si="57"/>
        <v>4046</v>
      </c>
      <c r="X134" s="89" t="str">
        <f t="shared" si="58"/>
        <v/>
      </c>
      <c r="Y134" s="89" t="str">
        <f t="shared" si="59"/>
        <v/>
      </c>
      <c r="Z134" s="89" t="str">
        <f>IF(U134="","",IF(AND(I134=FALSE,J134="No"),Z133,IF(AND(M133&lt;&gt;0,N133="Yes"),ROUND(-PMT(LOOKUP(W133,'Interest Rates'!$A$5:$A$302,'Interest Rates'!$D$5:$D$302)/12,($D$12-T134+1),U134),0),IF(I134=TRUE,Z133,ROUND(-PMT(VLOOKUP(O134,$A$14:$D$28,4,FALSE)/12,($D$12-T134+1),U134),0)))))</f>
        <v/>
      </c>
      <c r="AA134" s="89" t="str">
        <f t="shared" si="60"/>
        <v/>
      </c>
      <c r="AB134" s="89" t="str">
        <f t="shared" si="61"/>
        <v/>
      </c>
      <c r="AC134" s="89"/>
      <c r="AD134" s="89"/>
      <c r="AE134" s="89"/>
      <c r="AF134" s="87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104"/>
      <c r="AS134" s="89"/>
      <c r="AT134" s="89"/>
      <c r="AU134" s="89"/>
      <c r="AV134" s="89"/>
      <c r="AW134" s="89"/>
      <c r="AX134" s="89"/>
      <c r="AY134" s="89"/>
      <c r="AZ134" s="89"/>
      <c r="BA134" s="89"/>
      <c r="BB134" s="89"/>
      <c r="BC134" s="89">
        <v>3027</v>
      </c>
      <c r="BD134" s="105" t="s">
        <v>257</v>
      </c>
    </row>
    <row r="135" spans="2:56" x14ac:dyDescent="0.3">
      <c r="B135" s="89"/>
      <c r="C135" s="89"/>
      <c r="D135" s="89"/>
      <c r="E135" s="89"/>
      <c r="F135" s="89"/>
      <c r="G135" s="89"/>
      <c r="H135" s="93" t="str">
        <f t="shared" si="44"/>
        <v/>
      </c>
      <c r="I135" s="89" t="str">
        <f t="shared" si="52"/>
        <v/>
      </c>
      <c r="J135" s="24" t="e">
        <f t="shared" si="45"/>
        <v>#N/A</v>
      </c>
      <c r="K135" s="89" t="str">
        <f t="shared" si="53"/>
        <v/>
      </c>
      <c r="L135" s="89" t="str">
        <f>IF(H135="","",COUNT($M$3:M135))</f>
        <v/>
      </c>
      <c r="M135" s="89" t="str">
        <f t="shared" si="54"/>
        <v/>
      </c>
      <c r="N135" s="24" t="e">
        <f t="shared" si="46"/>
        <v>#N/A</v>
      </c>
      <c r="O135" s="24" t="str">
        <f>IF(H135="","",IF(I135=TRUE,"",COUNTIF($I$2:I135,FALSE)+1))</f>
        <v/>
      </c>
      <c r="P135" s="89"/>
      <c r="Q135" s="87">
        <v>134</v>
      </c>
      <c r="R135" s="89">
        <f t="shared" si="55"/>
        <v>12</v>
      </c>
      <c r="S135" s="25" t="str">
        <f t="shared" si="49"/>
        <v>Year 12</v>
      </c>
      <c r="T135" s="89" t="str">
        <f t="shared" si="47"/>
        <v/>
      </c>
      <c r="U135" s="89" t="str">
        <f t="shared" si="56"/>
        <v/>
      </c>
      <c r="V135" s="18" t="str">
        <f t="shared" si="48"/>
        <v xml:space="preserve">Month </v>
      </c>
      <c r="W135" s="96">
        <f t="shared" si="57"/>
        <v>4077</v>
      </c>
      <c r="X135" s="89" t="str">
        <f t="shared" si="58"/>
        <v/>
      </c>
      <c r="Y135" s="89" t="str">
        <f t="shared" si="59"/>
        <v/>
      </c>
      <c r="Z135" s="89" t="str">
        <f>IF(U135="","",IF(AND(I135=FALSE,J135="No"),Z134,IF(AND(M134&lt;&gt;0,N134="Yes"),ROUND(-PMT(LOOKUP(W134,'Interest Rates'!$A$5:$A$302,'Interest Rates'!$D$5:$D$302)/12,($D$12-T135+1),U135),0),IF(I135=TRUE,Z134,ROUND(-PMT(VLOOKUP(O135,$A$14:$D$28,4,FALSE)/12,($D$12-T135+1),U135),0)))))</f>
        <v/>
      </c>
      <c r="AA135" s="89" t="str">
        <f t="shared" si="60"/>
        <v/>
      </c>
      <c r="AB135" s="89" t="str">
        <f t="shared" si="61"/>
        <v/>
      </c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104"/>
      <c r="AS135" s="89"/>
      <c r="AT135" s="89"/>
      <c r="AU135" s="89"/>
      <c r="AV135" s="89"/>
      <c r="AW135" s="89"/>
      <c r="AX135" s="89"/>
      <c r="AY135" s="89"/>
      <c r="AZ135" s="89"/>
      <c r="BA135" s="89"/>
      <c r="BB135" s="89"/>
      <c r="BC135" s="89">
        <v>3029</v>
      </c>
      <c r="BD135" s="105" t="s">
        <v>258</v>
      </c>
    </row>
    <row r="136" spans="2:56" x14ac:dyDescent="0.3">
      <c r="B136" s="89"/>
      <c r="C136" s="89"/>
      <c r="D136" s="89"/>
      <c r="E136" s="89"/>
      <c r="F136" s="89"/>
      <c r="G136" s="89"/>
      <c r="H136" s="93" t="str">
        <f t="shared" si="44"/>
        <v/>
      </c>
      <c r="I136" s="89" t="str">
        <f t="shared" si="52"/>
        <v/>
      </c>
      <c r="J136" s="24" t="e">
        <f t="shared" si="45"/>
        <v>#N/A</v>
      </c>
      <c r="K136" s="89" t="str">
        <f t="shared" si="53"/>
        <v/>
      </c>
      <c r="L136" s="89" t="str">
        <f>IF(H136="","",COUNT($M$3:M136))</f>
        <v/>
      </c>
      <c r="M136" s="89" t="str">
        <f t="shared" si="54"/>
        <v/>
      </c>
      <c r="N136" s="24" t="e">
        <f t="shared" si="46"/>
        <v>#N/A</v>
      </c>
      <c r="O136" s="24" t="str">
        <f>IF(H136="","",IF(I136=TRUE,"",COUNTIF($I$2:I136,FALSE)+1))</f>
        <v/>
      </c>
      <c r="P136" s="89"/>
      <c r="Q136" s="24">
        <v>135</v>
      </c>
      <c r="R136" s="89">
        <f t="shared" si="55"/>
        <v>12</v>
      </c>
      <c r="S136" s="25" t="str">
        <f t="shared" si="49"/>
        <v>Year 12</v>
      </c>
      <c r="T136" s="89" t="str">
        <f t="shared" si="47"/>
        <v/>
      </c>
      <c r="U136" s="89" t="str">
        <f t="shared" si="56"/>
        <v/>
      </c>
      <c r="V136" s="18" t="str">
        <f t="shared" si="48"/>
        <v xml:space="preserve">Month </v>
      </c>
      <c r="W136" s="96">
        <f t="shared" si="57"/>
        <v>4105</v>
      </c>
      <c r="X136" s="89" t="str">
        <f t="shared" si="58"/>
        <v/>
      </c>
      <c r="Y136" s="89" t="str">
        <f t="shared" si="59"/>
        <v/>
      </c>
      <c r="Z136" s="89" t="str">
        <f>IF(U136="","",IF(AND(I136=FALSE,J136="No"),Z135,IF(AND(M135&lt;&gt;0,N135="Yes"),ROUND(-PMT(LOOKUP(W135,'Interest Rates'!$A$5:$A$302,'Interest Rates'!$D$5:$D$302)/12,($D$12-T136+1),U136),0),IF(I136=TRUE,Z135,ROUND(-PMT(VLOOKUP(O136,$A$14:$D$28,4,FALSE)/12,($D$12-T136+1),U136),0)))))</f>
        <v/>
      </c>
      <c r="AA136" s="89" t="str">
        <f t="shared" si="60"/>
        <v/>
      </c>
      <c r="AB136" s="89" t="str">
        <f t="shared" si="61"/>
        <v/>
      </c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104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>
        <v>3032</v>
      </c>
      <c r="BD136" s="105" t="s">
        <v>259</v>
      </c>
    </row>
    <row r="137" spans="2:56" x14ac:dyDescent="0.3">
      <c r="B137" s="89"/>
      <c r="C137" s="89"/>
      <c r="D137" s="89"/>
      <c r="E137" s="89"/>
      <c r="F137" s="89"/>
      <c r="G137" s="89"/>
      <c r="H137" s="93" t="str">
        <f t="shared" si="44"/>
        <v/>
      </c>
      <c r="I137" s="89" t="str">
        <f t="shared" si="52"/>
        <v/>
      </c>
      <c r="J137" s="24" t="e">
        <f t="shared" si="45"/>
        <v>#N/A</v>
      </c>
      <c r="K137" s="89" t="str">
        <f t="shared" si="53"/>
        <v/>
      </c>
      <c r="L137" s="89" t="str">
        <f>IF(H137="","",COUNT($M$3:M137))</f>
        <v/>
      </c>
      <c r="M137" s="89" t="str">
        <f t="shared" si="54"/>
        <v/>
      </c>
      <c r="N137" s="24" t="e">
        <f t="shared" si="46"/>
        <v>#N/A</v>
      </c>
      <c r="O137" s="24" t="str">
        <f>IF(H137="","",IF(I137=TRUE,"",COUNTIF($I$2:I137,FALSE)+1))</f>
        <v/>
      </c>
      <c r="P137" s="89"/>
      <c r="Q137" s="87">
        <v>136</v>
      </c>
      <c r="R137" s="89">
        <f t="shared" si="55"/>
        <v>13</v>
      </c>
      <c r="S137" s="25" t="str">
        <f t="shared" si="49"/>
        <v>Year 13</v>
      </c>
      <c r="T137" s="89" t="str">
        <f t="shared" si="47"/>
        <v/>
      </c>
      <c r="U137" s="89" t="str">
        <f t="shared" si="56"/>
        <v/>
      </c>
      <c r="V137" s="18" t="str">
        <f t="shared" si="48"/>
        <v xml:space="preserve">Month </v>
      </c>
      <c r="W137" s="96">
        <f t="shared" si="57"/>
        <v>4136</v>
      </c>
      <c r="X137" s="89" t="str">
        <f t="shared" si="58"/>
        <v/>
      </c>
      <c r="Y137" s="89" t="str">
        <f t="shared" si="59"/>
        <v/>
      </c>
      <c r="Z137" s="89" t="str">
        <f>IF(U137="","",IF(AND(I137=FALSE,J137="No"),Z136,IF(AND(M136&lt;&gt;0,N136="Yes"),ROUND(-PMT(LOOKUP(W136,'Interest Rates'!$A$5:$A$302,'Interest Rates'!$D$5:$D$302)/12,($D$12-T137+1),U137),0),IF(I137=TRUE,Z136,ROUND(-PMT(VLOOKUP(O137,$A$14:$D$28,4,FALSE)/12,($D$12-T137+1),U137),0)))))</f>
        <v/>
      </c>
      <c r="AA137" s="89" t="str">
        <f t="shared" si="60"/>
        <v/>
      </c>
      <c r="AB137" s="89" t="str">
        <f t="shared" si="61"/>
        <v/>
      </c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104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9">
        <v>3033</v>
      </c>
      <c r="BD137" s="105" t="s">
        <v>260</v>
      </c>
    </row>
    <row r="138" spans="2:56" x14ac:dyDescent="0.3">
      <c r="B138" s="89"/>
      <c r="C138" s="89"/>
      <c r="D138" s="89"/>
      <c r="E138" s="89"/>
      <c r="F138" s="89"/>
      <c r="G138" s="89"/>
      <c r="H138" s="93" t="str">
        <f t="shared" si="44"/>
        <v/>
      </c>
      <c r="I138" s="89" t="str">
        <f t="shared" si="52"/>
        <v/>
      </c>
      <c r="J138" s="24" t="e">
        <f t="shared" si="45"/>
        <v>#N/A</v>
      </c>
      <c r="K138" s="89" t="str">
        <f t="shared" si="53"/>
        <v/>
      </c>
      <c r="L138" s="89" t="str">
        <f>IF(H138="","",COUNT($M$3:M138))</f>
        <v/>
      </c>
      <c r="M138" s="89" t="str">
        <f t="shared" si="54"/>
        <v/>
      </c>
      <c r="N138" s="24" t="e">
        <f t="shared" si="46"/>
        <v>#N/A</v>
      </c>
      <c r="O138" s="24" t="str">
        <f>IF(H138="","",IF(I138=TRUE,"",COUNTIF($I$2:I138,FALSE)+1))</f>
        <v/>
      </c>
      <c r="P138" s="89"/>
      <c r="Q138" s="24">
        <v>137</v>
      </c>
      <c r="R138" s="89">
        <f t="shared" si="55"/>
        <v>13</v>
      </c>
      <c r="S138" s="25" t="str">
        <f t="shared" si="49"/>
        <v>Year 13</v>
      </c>
      <c r="T138" s="89" t="str">
        <f t="shared" si="47"/>
        <v/>
      </c>
      <c r="U138" s="89" t="str">
        <f t="shared" si="56"/>
        <v/>
      </c>
      <c r="V138" s="18" t="str">
        <f t="shared" si="48"/>
        <v xml:space="preserve">Month </v>
      </c>
      <c r="W138" s="96">
        <f t="shared" si="57"/>
        <v>4166</v>
      </c>
      <c r="X138" s="89" t="str">
        <f t="shared" si="58"/>
        <v/>
      </c>
      <c r="Y138" s="89" t="str">
        <f t="shared" si="59"/>
        <v/>
      </c>
      <c r="Z138" s="89" t="str">
        <f>IF(U138="","",IF(AND(I138=FALSE,J138="No"),Z137,IF(AND(M137&lt;&gt;0,N137="Yes"),ROUND(-PMT(LOOKUP(W137,'Interest Rates'!$A$5:$A$302,'Interest Rates'!$D$5:$D$302)/12,($D$12-T138+1),U138),0),IF(I138=TRUE,Z137,ROUND(-PMT(VLOOKUP(O138,$A$14:$D$28,4,FALSE)/12,($D$12-T138+1),U138),0)))))</f>
        <v/>
      </c>
      <c r="AA138" s="89" t="str">
        <f t="shared" si="60"/>
        <v/>
      </c>
      <c r="AB138" s="89" t="str">
        <f t="shared" si="61"/>
        <v/>
      </c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104"/>
      <c r="AS138" s="89"/>
      <c r="AT138" s="89"/>
      <c r="AU138" s="89"/>
      <c r="AV138" s="89"/>
      <c r="AW138" s="89"/>
      <c r="AX138" s="89"/>
      <c r="AY138" s="89"/>
      <c r="AZ138" s="89"/>
      <c r="BA138" s="89"/>
      <c r="BB138" s="89"/>
      <c r="BC138" s="89">
        <v>3034</v>
      </c>
      <c r="BD138" s="105" t="s">
        <v>261</v>
      </c>
    </row>
    <row r="139" spans="2:56" x14ac:dyDescent="0.3">
      <c r="B139" s="89"/>
      <c r="C139" s="89"/>
      <c r="D139" s="89"/>
      <c r="E139" s="89"/>
      <c r="F139" s="89"/>
      <c r="G139" s="89"/>
      <c r="H139" s="93" t="str">
        <f t="shared" si="44"/>
        <v/>
      </c>
      <c r="I139" s="89" t="str">
        <f t="shared" si="52"/>
        <v/>
      </c>
      <c r="J139" s="24" t="e">
        <f t="shared" si="45"/>
        <v>#N/A</v>
      </c>
      <c r="K139" s="89" t="str">
        <f t="shared" si="53"/>
        <v/>
      </c>
      <c r="L139" s="89" t="str">
        <f>IF(H139="","",COUNT($M$3:M139))</f>
        <v/>
      </c>
      <c r="M139" s="89" t="str">
        <f t="shared" si="54"/>
        <v/>
      </c>
      <c r="N139" s="24" t="e">
        <f t="shared" si="46"/>
        <v>#N/A</v>
      </c>
      <c r="O139" s="24" t="str">
        <f>IF(H139="","",IF(I139=TRUE,"",COUNTIF($I$2:I139,FALSE)+1))</f>
        <v/>
      </c>
      <c r="P139" s="89"/>
      <c r="Q139" s="87">
        <v>138</v>
      </c>
      <c r="R139" s="89">
        <f t="shared" si="55"/>
        <v>13</v>
      </c>
      <c r="S139" s="25" t="str">
        <f t="shared" si="49"/>
        <v>Year 13</v>
      </c>
      <c r="T139" s="89" t="str">
        <f t="shared" si="47"/>
        <v/>
      </c>
      <c r="U139" s="89" t="str">
        <f t="shared" si="56"/>
        <v/>
      </c>
      <c r="V139" s="18" t="str">
        <f t="shared" si="48"/>
        <v xml:space="preserve">Month </v>
      </c>
      <c r="W139" s="96">
        <f t="shared" si="57"/>
        <v>4197</v>
      </c>
      <c r="X139" s="89" t="str">
        <f t="shared" si="58"/>
        <v/>
      </c>
      <c r="Y139" s="89" t="str">
        <f t="shared" si="59"/>
        <v/>
      </c>
      <c r="Z139" s="89" t="str">
        <f>IF(U139="","",IF(AND(I139=FALSE,J139="No"),Z138,IF(AND(M138&lt;&gt;0,N138="Yes"),ROUND(-PMT(LOOKUP(W138,'Interest Rates'!$A$5:$A$302,'Interest Rates'!$D$5:$D$302)/12,($D$12-T139+1),U139),0),IF(I139=TRUE,Z138,ROUND(-PMT(VLOOKUP(O139,$A$14:$D$28,4,FALSE)/12,($D$12-T139+1),U139),0)))))</f>
        <v/>
      </c>
      <c r="AA139" s="89" t="str">
        <f t="shared" si="60"/>
        <v/>
      </c>
      <c r="AB139" s="89" t="str">
        <f t="shared" si="61"/>
        <v/>
      </c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104"/>
      <c r="AS139" s="89"/>
      <c r="AT139" s="89"/>
      <c r="AU139" s="89"/>
      <c r="AV139" s="89"/>
      <c r="AW139" s="89"/>
      <c r="AX139" s="89"/>
      <c r="AY139" s="89"/>
      <c r="AZ139" s="89"/>
      <c r="BA139" s="89"/>
      <c r="BB139" s="89"/>
      <c r="BC139" s="89">
        <v>3035</v>
      </c>
      <c r="BD139" s="105" t="s">
        <v>262</v>
      </c>
    </row>
    <row r="140" spans="2:56" x14ac:dyDescent="0.3">
      <c r="B140" s="89"/>
      <c r="C140" s="89"/>
      <c r="D140" s="89"/>
      <c r="E140" s="89"/>
      <c r="F140" s="89"/>
      <c r="G140" s="89"/>
      <c r="H140" s="93" t="str">
        <f t="shared" si="44"/>
        <v/>
      </c>
      <c r="I140" s="89" t="str">
        <f t="shared" si="52"/>
        <v/>
      </c>
      <c r="J140" s="24" t="e">
        <f t="shared" si="45"/>
        <v>#N/A</v>
      </c>
      <c r="K140" s="89" t="str">
        <f t="shared" si="53"/>
        <v/>
      </c>
      <c r="L140" s="89" t="str">
        <f>IF(H140="","",COUNT($M$3:M140))</f>
        <v/>
      </c>
      <c r="M140" s="89" t="str">
        <f t="shared" si="54"/>
        <v/>
      </c>
      <c r="N140" s="24" t="e">
        <f t="shared" si="46"/>
        <v>#N/A</v>
      </c>
      <c r="O140" s="24" t="str">
        <f>IF(H140="","",IF(I140=TRUE,"",COUNTIF($I$2:I140,FALSE)+1))</f>
        <v/>
      </c>
      <c r="P140" s="89"/>
      <c r="Q140" s="24">
        <v>139</v>
      </c>
      <c r="R140" s="89">
        <f t="shared" si="55"/>
        <v>13</v>
      </c>
      <c r="S140" s="25" t="str">
        <f t="shared" si="49"/>
        <v>Year 13</v>
      </c>
      <c r="T140" s="89" t="str">
        <f t="shared" si="47"/>
        <v/>
      </c>
      <c r="U140" s="89" t="str">
        <f t="shared" si="56"/>
        <v/>
      </c>
      <c r="V140" s="18" t="str">
        <f t="shared" si="48"/>
        <v xml:space="preserve">Month </v>
      </c>
      <c r="W140" s="96">
        <f t="shared" si="57"/>
        <v>4227</v>
      </c>
      <c r="X140" s="89" t="str">
        <f t="shared" si="58"/>
        <v/>
      </c>
      <c r="Y140" s="89" t="str">
        <f t="shared" si="59"/>
        <v/>
      </c>
      <c r="Z140" s="89" t="str">
        <f>IF(U140="","",IF(AND(I140=FALSE,J140="No"),Z139,IF(AND(M139&lt;&gt;0,N139="Yes"),ROUND(-PMT(LOOKUP(W139,'Interest Rates'!$A$5:$A$302,'Interest Rates'!$D$5:$D$302)/12,($D$12-T140+1),U140),0),IF(I140=TRUE,Z139,ROUND(-PMT(VLOOKUP(O140,$A$14:$D$28,4,FALSE)/12,($D$12-T140+1),U140),0)))))</f>
        <v/>
      </c>
      <c r="AA140" s="89" t="str">
        <f t="shared" si="60"/>
        <v/>
      </c>
      <c r="AB140" s="89" t="str">
        <f t="shared" si="61"/>
        <v/>
      </c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104"/>
      <c r="AS140" s="89"/>
      <c r="AT140" s="89"/>
      <c r="AU140" s="89"/>
      <c r="AV140" s="89"/>
      <c r="AW140" s="89"/>
      <c r="AX140" s="89"/>
      <c r="AY140" s="89"/>
      <c r="AZ140" s="89"/>
      <c r="BA140" s="89"/>
      <c r="BB140" s="89"/>
      <c r="BC140" s="89">
        <v>3037</v>
      </c>
      <c r="BD140" s="105" t="s">
        <v>263</v>
      </c>
    </row>
    <row r="141" spans="2:56" x14ac:dyDescent="0.3">
      <c r="B141" s="89"/>
      <c r="C141" s="89"/>
      <c r="D141" s="89"/>
      <c r="E141" s="89"/>
      <c r="F141" s="89"/>
      <c r="G141" s="89"/>
      <c r="H141" s="93" t="str">
        <f t="shared" si="44"/>
        <v/>
      </c>
      <c r="I141" s="89" t="str">
        <f t="shared" si="52"/>
        <v/>
      </c>
      <c r="J141" s="24" t="e">
        <f t="shared" si="45"/>
        <v>#N/A</v>
      </c>
      <c r="K141" s="89" t="str">
        <f t="shared" si="53"/>
        <v/>
      </c>
      <c r="L141" s="89" t="str">
        <f>IF(H141="","",COUNT($M$3:M141))</f>
        <v/>
      </c>
      <c r="M141" s="89" t="str">
        <f t="shared" si="54"/>
        <v/>
      </c>
      <c r="N141" s="24" t="e">
        <f t="shared" si="46"/>
        <v>#N/A</v>
      </c>
      <c r="O141" s="24" t="str">
        <f>IF(H141="","",IF(I141=TRUE,"",COUNTIF($I$2:I141,FALSE)+1))</f>
        <v/>
      </c>
      <c r="P141" s="89"/>
      <c r="Q141" s="87">
        <v>140</v>
      </c>
      <c r="R141" s="89">
        <f t="shared" si="55"/>
        <v>13</v>
      </c>
      <c r="S141" s="25" t="str">
        <f t="shared" si="49"/>
        <v>Year 13</v>
      </c>
      <c r="T141" s="89" t="str">
        <f t="shared" si="47"/>
        <v/>
      </c>
      <c r="U141" s="89" t="str">
        <f t="shared" si="56"/>
        <v/>
      </c>
      <c r="V141" s="18" t="str">
        <f t="shared" si="48"/>
        <v xml:space="preserve">Month </v>
      </c>
      <c r="W141" s="96">
        <f t="shared" si="57"/>
        <v>4258</v>
      </c>
      <c r="X141" s="89" t="str">
        <f t="shared" si="58"/>
        <v/>
      </c>
      <c r="Y141" s="89" t="str">
        <f t="shared" si="59"/>
        <v/>
      </c>
      <c r="Z141" s="89" t="str">
        <f>IF(U141="","",IF(AND(I141=FALSE,J141="No"),Z140,IF(AND(M140&lt;&gt;0,N140="Yes"),ROUND(-PMT(LOOKUP(W140,'Interest Rates'!$A$5:$A$302,'Interest Rates'!$D$5:$D$302)/12,($D$12-T141+1),U141),0),IF(I141=TRUE,Z140,ROUND(-PMT(VLOOKUP(O141,$A$14:$D$28,4,FALSE)/12,($D$12-T141+1),U141),0)))))</f>
        <v/>
      </c>
      <c r="AA141" s="89" t="str">
        <f t="shared" si="60"/>
        <v/>
      </c>
      <c r="AB141" s="89" t="str">
        <f t="shared" si="61"/>
        <v/>
      </c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104"/>
      <c r="AS141" s="89"/>
      <c r="AT141" s="89"/>
      <c r="AU141" s="89"/>
      <c r="AV141" s="89"/>
      <c r="AW141" s="89"/>
      <c r="AX141" s="89"/>
      <c r="AY141" s="89"/>
      <c r="AZ141" s="89"/>
      <c r="BA141" s="89"/>
      <c r="BB141" s="89"/>
      <c r="BC141" s="89">
        <v>3042</v>
      </c>
      <c r="BD141" s="105" t="s">
        <v>264</v>
      </c>
    </row>
    <row r="142" spans="2:56" x14ac:dyDescent="0.3">
      <c r="B142" s="89"/>
      <c r="C142" s="89"/>
      <c r="D142" s="89"/>
      <c r="E142" s="89"/>
      <c r="F142" s="89"/>
      <c r="G142" s="89"/>
      <c r="H142" s="93" t="str">
        <f t="shared" si="44"/>
        <v/>
      </c>
      <c r="I142" s="89" t="str">
        <f t="shared" si="52"/>
        <v/>
      </c>
      <c r="J142" s="24" t="e">
        <f t="shared" si="45"/>
        <v>#N/A</v>
      </c>
      <c r="K142" s="89" t="str">
        <f t="shared" si="53"/>
        <v/>
      </c>
      <c r="L142" s="89" t="str">
        <f>IF(H142="","",COUNT($M$3:M142))</f>
        <v/>
      </c>
      <c r="M142" s="89" t="str">
        <f t="shared" si="54"/>
        <v/>
      </c>
      <c r="N142" s="24" t="e">
        <f t="shared" si="46"/>
        <v>#N/A</v>
      </c>
      <c r="O142" s="24" t="str">
        <f>IF(H142="","",IF(I142=TRUE,"",COUNTIF($I$2:I142,FALSE)+1))</f>
        <v/>
      </c>
      <c r="P142" s="89"/>
      <c r="Q142" s="24">
        <v>141</v>
      </c>
      <c r="R142" s="89">
        <f t="shared" si="55"/>
        <v>13</v>
      </c>
      <c r="S142" s="25" t="str">
        <f t="shared" si="49"/>
        <v>Year 13</v>
      </c>
      <c r="T142" s="89" t="str">
        <f t="shared" si="47"/>
        <v/>
      </c>
      <c r="U142" s="89" t="str">
        <f t="shared" si="56"/>
        <v/>
      </c>
      <c r="V142" s="18" t="str">
        <f t="shared" si="48"/>
        <v xml:space="preserve">Month </v>
      </c>
      <c r="W142" s="96">
        <f t="shared" si="57"/>
        <v>4289</v>
      </c>
      <c r="X142" s="89" t="str">
        <f t="shared" si="58"/>
        <v/>
      </c>
      <c r="Y142" s="89" t="str">
        <f t="shared" si="59"/>
        <v/>
      </c>
      <c r="Z142" s="89" t="str">
        <f>IF(U142="","",IF(AND(I142=FALSE,J142="No"),Z141,IF(AND(M141&lt;&gt;0,N141="Yes"),ROUND(-PMT(LOOKUP(W141,'Interest Rates'!$A$5:$A$302,'Interest Rates'!$D$5:$D$302)/12,($D$12-T142+1),U142),0),IF(I142=TRUE,Z141,ROUND(-PMT(VLOOKUP(O142,$A$14:$D$28,4,FALSE)/12,($D$12-T142+1),U142),0)))))</f>
        <v/>
      </c>
      <c r="AA142" s="89" t="str">
        <f t="shared" si="60"/>
        <v/>
      </c>
      <c r="AB142" s="89" t="str">
        <f t="shared" si="61"/>
        <v/>
      </c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104"/>
      <c r="AS142" s="89"/>
      <c r="AT142" s="89"/>
      <c r="AU142" s="89"/>
      <c r="AV142" s="89"/>
      <c r="AW142" s="89"/>
      <c r="AX142" s="89"/>
      <c r="AY142" s="89"/>
      <c r="AZ142" s="89"/>
      <c r="BA142" s="89"/>
      <c r="BB142" s="89"/>
      <c r="BC142" s="89">
        <v>3043</v>
      </c>
      <c r="BD142" s="105" t="s">
        <v>265</v>
      </c>
    </row>
    <row r="143" spans="2:56" x14ac:dyDescent="0.3">
      <c r="B143" s="89"/>
      <c r="C143" s="89"/>
      <c r="D143" s="89"/>
      <c r="E143" s="89"/>
      <c r="F143" s="89"/>
      <c r="G143" s="89"/>
      <c r="H143" s="93" t="str">
        <f t="shared" si="44"/>
        <v/>
      </c>
      <c r="I143" s="89" t="str">
        <f t="shared" si="52"/>
        <v/>
      </c>
      <c r="J143" s="24" t="e">
        <f t="shared" si="45"/>
        <v>#N/A</v>
      </c>
      <c r="K143" s="89" t="str">
        <f t="shared" si="53"/>
        <v/>
      </c>
      <c r="L143" s="89" t="str">
        <f>IF(H143="","",COUNT($M$3:M143))</f>
        <v/>
      </c>
      <c r="M143" s="89" t="str">
        <f t="shared" si="54"/>
        <v/>
      </c>
      <c r="N143" s="24" t="e">
        <f t="shared" si="46"/>
        <v>#N/A</v>
      </c>
      <c r="O143" s="24" t="str">
        <f>IF(H143="","",IF(I143=TRUE,"",COUNTIF($I$2:I143,FALSE)+1))</f>
        <v/>
      </c>
      <c r="P143" s="89"/>
      <c r="Q143" s="87">
        <v>142</v>
      </c>
      <c r="R143" s="89">
        <f t="shared" si="55"/>
        <v>13</v>
      </c>
      <c r="S143" s="25" t="str">
        <f t="shared" si="49"/>
        <v>Year 13</v>
      </c>
      <c r="T143" s="89" t="str">
        <f t="shared" si="47"/>
        <v/>
      </c>
      <c r="U143" s="89" t="str">
        <f t="shared" si="56"/>
        <v/>
      </c>
      <c r="V143" s="18" t="str">
        <f t="shared" si="48"/>
        <v xml:space="preserve">Month </v>
      </c>
      <c r="W143" s="96">
        <f t="shared" si="57"/>
        <v>4319</v>
      </c>
      <c r="X143" s="89" t="str">
        <f t="shared" si="58"/>
        <v/>
      </c>
      <c r="Y143" s="89" t="str">
        <f t="shared" si="59"/>
        <v/>
      </c>
      <c r="Z143" s="89" t="str">
        <f>IF(U143="","",IF(AND(I143=FALSE,J143="No"),Z142,IF(AND(M142&lt;&gt;0,N142="Yes"),ROUND(-PMT(LOOKUP(W142,'Interest Rates'!$A$5:$A$302,'Interest Rates'!$D$5:$D$302)/12,($D$12-T143+1),U143),0),IF(I143=TRUE,Z142,ROUND(-PMT(VLOOKUP(O143,$A$14:$D$28,4,FALSE)/12,($D$12-T143+1),U143),0)))))</f>
        <v/>
      </c>
      <c r="AA143" s="89" t="str">
        <f t="shared" si="60"/>
        <v/>
      </c>
      <c r="AB143" s="89" t="str">
        <f t="shared" si="61"/>
        <v/>
      </c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104"/>
      <c r="AS143" s="89"/>
      <c r="AT143" s="89"/>
      <c r="AU143" s="89"/>
      <c r="AV143" s="89"/>
      <c r="AW143" s="89"/>
      <c r="AX143" s="89"/>
      <c r="AY143" s="89"/>
      <c r="AZ143" s="89"/>
      <c r="BA143" s="89"/>
      <c r="BB143" s="89"/>
      <c r="BC143" s="89">
        <v>3050</v>
      </c>
      <c r="BD143" s="105" t="s">
        <v>266</v>
      </c>
    </row>
    <row r="144" spans="2:56" x14ac:dyDescent="0.3">
      <c r="B144" s="89"/>
      <c r="C144" s="89"/>
      <c r="D144" s="89"/>
      <c r="E144" s="89"/>
      <c r="F144" s="89"/>
      <c r="G144" s="89"/>
      <c r="H144" s="93" t="str">
        <f t="shared" si="44"/>
        <v/>
      </c>
      <c r="I144" s="89" t="str">
        <f t="shared" si="52"/>
        <v/>
      </c>
      <c r="J144" s="24" t="e">
        <f t="shared" si="45"/>
        <v>#N/A</v>
      </c>
      <c r="K144" s="89" t="str">
        <f t="shared" si="53"/>
        <v/>
      </c>
      <c r="L144" s="89" t="str">
        <f>IF(H144="","",COUNT($M$3:M144))</f>
        <v/>
      </c>
      <c r="M144" s="89" t="str">
        <f t="shared" si="54"/>
        <v/>
      </c>
      <c r="N144" s="24" t="e">
        <f t="shared" si="46"/>
        <v>#N/A</v>
      </c>
      <c r="O144" s="24" t="str">
        <f>IF(H144="","",IF(I144=TRUE,"",COUNTIF($I$2:I144,FALSE)+1))</f>
        <v/>
      </c>
      <c r="P144" s="89"/>
      <c r="Q144" s="24">
        <v>143</v>
      </c>
      <c r="R144" s="89">
        <f t="shared" si="55"/>
        <v>13</v>
      </c>
      <c r="S144" s="25" t="str">
        <f t="shared" si="49"/>
        <v>Year 13</v>
      </c>
      <c r="T144" s="89" t="str">
        <f t="shared" si="47"/>
        <v/>
      </c>
      <c r="U144" s="89" t="str">
        <f t="shared" si="56"/>
        <v/>
      </c>
      <c r="V144" s="18" t="str">
        <f t="shared" si="48"/>
        <v xml:space="preserve">Month </v>
      </c>
      <c r="W144" s="96">
        <f t="shared" si="57"/>
        <v>4350</v>
      </c>
      <c r="X144" s="89" t="str">
        <f t="shared" si="58"/>
        <v/>
      </c>
      <c r="Y144" s="89" t="str">
        <f t="shared" si="59"/>
        <v/>
      </c>
      <c r="Z144" s="89" t="str">
        <f>IF(U144="","",IF(AND(I144=FALSE,J144="No"),Z143,IF(AND(M143&lt;&gt;0,N143="Yes"),ROUND(-PMT(LOOKUP(W143,'Interest Rates'!$A$5:$A$302,'Interest Rates'!$D$5:$D$302)/12,($D$12-T144+1),U144),0),IF(I144=TRUE,Z143,ROUND(-PMT(VLOOKUP(O144,$A$14:$D$28,4,FALSE)/12,($D$12-T144+1),U144),0)))))</f>
        <v/>
      </c>
      <c r="AA144" s="89" t="str">
        <f t="shared" si="60"/>
        <v/>
      </c>
      <c r="AB144" s="89" t="str">
        <f t="shared" si="61"/>
        <v/>
      </c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104"/>
      <c r="AS144" s="89"/>
      <c r="AT144" s="89"/>
      <c r="AU144" s="89"/>
      <c r="AV144" s="89"/>
      <c r="AW144" s="89"/>
      <c r="AX144" s="89"/>
      <c r="AY144" s="89"/>
      <c r="AZ144" s="89"/>
      <c r="BA144" s="89"/>
      <c r="BB144" s="89"/>
      <c r="BC144" s="89">
        <v>3052</v>
      </c>
      <c r="BD144" s="105" t="s">
        <v>267</v>
      </c>
    </row>
    <row r="145" spans="2:56" x14ac:dyDescent="0.3">
      <c r="B145" s="89"/>
      <c r="C145" s="89"/>
      <c r="D145" s="89"/>
      <c r="E145" s="89"/>
      <c r="F145" s="89"/>
      <c r="G145" s="89"/>
      <c r="H145" s="93" t="str">
        <f t="shared" si="44"/>
        <v/>
      </c>
      <c r="I145" s="89" t="str">
        <f t="shared" si="52"/>
        <v/>
      </c>
      <c r="J145" s="24" t="e">
        <f t="shared" si="45"/>
        <v>#N/A</v>
      </c>
      <c r="K145" s="89" t="str">
        <f t="shared" si="53"/>
        <v/>
      </c>
      <c r="L145" s="89" t="str">
        <f>IF(H145="","",COUNT($M$3:M145))</f>
        <v/>
      </c>
      <c r="M145" s="89" t="str">
        <f t="shared" si="54"/>
        <v/>
      </c>
      <c r="N145" s="24" t="e">
        <f t="shared" si="46"/>
        <v>#N/A</v>
      </c>
      <c r="O145" s="24" t="str">
        <f>IF(H145="","",IF(I145=TRUE,"",COUNTIF($I$2:I145,FALSE)+1))</f>
        <v/>
      </c>
      <c r="P145" s="89"/>
      <c r="Q145" s="87">
        <v>144</v>
      </c>
      <c r="R145" s="89">
        <f t="shared" si="55"/>
        <v>13</v>
      </c>
      <c r="S145" s="25" t="str">
        <f t="shared" si="49"/>
        <v>Year 13</v>
      </c>
      <c r="T145" s="89" t="str">
        <f t="shared" si="47"/>
        <v/>
      </c>
      <c r="U145" s="89" t="str">
        <f t="shared" si="56"/>
        <v/>
      </c>
      <c r="V145" s="18" t="str">
        <f t="shared" si="48"/>
        <v xml:space="preserve">Month </v>
      </c>
      <c r="W145" s="96">
        <f t="shared" si="57"/>
        <v>4380</v>
      </c>
      <c r="X145" s="89" t="str">
        <f t="shared" si="58"/>
        <v/>
      </c>
      <c r="Y145" s="89" t="str">
        <f t="shared" si="59"/>
        <v/>
      </c>
      <c r="Z145" s="89" t="str">
        <f>IF(U145="","",IF(AND(I145=FALSE,J145="No"),Z144,IF(AND(M144&lt;&gt;0,N144="Yes"),ROUND(-PMT(LOOKUP(W144,'Interest Rates'!$A$5:$A$302,'Interest Rates'!$D$5:$D$302)/12,($D$12-T145+1),U145),0),IF(I145=TRUE,Z144,ROUND(-PMT(VLOOKUP(O145,$A$14:$D$28,4,FALSE)/12,($D$12-T145+1),U145),0)))))</f>
        <v/>
      </c>
      <c r="AA145" s="89" t="str">
        <f t="shared" si="60"/>
        <v/>
      </c>
      <c r="AB145" s="89" t="str">
        <f t="shared" si="61"/>
        <v/>
      </c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104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9">
        <v>3053</v>
      </c>
      <c r="BD145" s="105" t="s">
        <v>268</v>
      </c>
    </row>
    <row r="146" spans="2:56" x14ac:dyDescent="0.3">
      <c r="B146" s="89"/>
      <c r="C146" s="89"/>
      <c r="D146" s="89"/>
      <c r="E146" s="89"/>
      <c r="F146" s="89"/>
      <c r="G146" s="89"/>
      <c r="H146" s="93" t="str">
        <f t="shared" si="44"/>
        <v/>
      </c>
      <c r="I146" s="89" t="str">
        <f t="shared" si="52"/>
        <v/>
      </c>
      <c r="J146" s="24" t="e">
        <f t="shared" si="45"/>
        <v>#N/A</v>
      </c>
      <c r="K146" s="89" t="str">
        <f t="shared" si="53"/>
        <v/>
      </c>
      <c r="L146" s="89" t="str">
        <f>IF(H146="","",COUNT($M$3:M146))</f>
        <v/>
      </c>
      <c r="M146" s="89" t="str">
        <f t="shared" si="54"/>
        <v/>
      </c>
      <c r="N146" s="24" t="e">
        <f t="shared" si="46"/>
        <v>#N/A</v>
      </c>
      <c r="O146" s="24" t="str">
        <f>IF(H146="","",IF(I146=TRUE,"",COUNTIF($I$2:I146,FALSE)+1))</f>
        <v/>
      </c>
      <c r="P146" s="89"/>
      <c r="Q146" s="24">
        <v>145</v>
      </c>
      <c r="R146" s="89">
        <f t="shared" si="55"/>
        <v>13</v>
      </c>
      <c r="S146" s="25" t="str">
        <f t="shared" si="49"/>
        <v>Year 13</v>
      </c>
      <c r="T146" s="89" t="str">
        <f t="shared" si="47"/>
        <v/>
      </c>
      <c r="U146" s="89" t="str">
        <f t="shared" si="56"/>
        <v/>
      </c>
      <c r="V146" s="18" t="str">
        <f t="shared" si="48"/>
        <v xml:space="preserve">Month </v>
      </c>
      <c r="W146" s="96">
        <f t="shared" si="57"/>
        <v>4411</v>
      </c>
      <c r="X146" s="89" t="str">
        <f t="shared" si="58"/>
        <v/>
      </c>
      <c r="Y146" s="89" t="str">
        <f t="shared" si="59"/>
        <v/>
      </c>
      <c r="Z146" s="89" t="str">
        <f>IF(U146="","",IF(AND(I146=FALSE,J146="No"),Z145,IF(AND(M145&lt;&gt;0,N145="Yes"),ROUND(-PMT(LOOKUP(W145,'Interest Rates'!$A$5:$A$302,'Interest Rates'!$D$5:$D$302)/12,($D$12-T146+1),U146),0),IF(I146=TRUE,Z145,ROUND(-PMT(VLOOKUP(O146,$A$14:$D$28,4,FALSE)/12,($D$12-T146+1),U146),0)))))</f>
        <v/>
      </c>
      <c r="AA146" s="89" t="str">
        <f t="shared" si="60"/>
        <v/>
      </c>
      <c r="AB146" s="89" t="str">
        <f t="shared" si="61"/>
        <v/>
      </c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104"/>
      <c r="AS146" s="89"/>
      <c r="AT146" s="89"/>
      <c r="AU146" s="89"/>
      <c r="AV146" s="89"/>
      <c r="AW146" s="89"/>
      <c r="AX146" s="89"/>
      <c r="AY146" s="89"/>
      <c r="AZ146" s="89"/>
      <c r="BA146" s="89"/>
      <c r="BB146" s="89"/>
      <c r="BC146" s="89">
        <v>3054</v>
      </c>
      <c r="BD146" s="105" t="s">
        <v>269</v>
      </c>
    </row>
    <row r="147" spans="2:56" x14ac:dyDescent="0.3">
      <c r="B147" s="89"/>
      <c r="C147" s="89"/>
      <c r="D147" s="89"/>
      <c r="E147" s="89"/>
      <c r="F147" s="89"/>
      <c r="G147" s="89"/>
      <c r="H147" s="93" t="str">
        <f t="shared" si="44"/>
        <v/>
      </c>
      <c r="I147" s="89" t="str">
        <f t="shared" si="52"/>
        <v/>
      </c>
      <c r="J147" s="24" t="e">
        <f t="shared" si="45"/>
        <v>#N/A</v>
      </c>
      <c r="K147" s="89" t="str">
        <f t="shared" si="53"/>
        <v/>
      </c>
      <c r="L147" s="89" t="str">
        <f>IF(H147="","",COUNT($M$3:M147))</f>
        <v/>
      </c>
      <c r="M147" s="89" t="str">
        <f t="shared" si="54"/>
        <v/>
      </c>
      <c r="N147" s="24" t="e">
        <f t="shared" si="46"/>
        <v>#N/A</v>
      </c>
      <c r="O147" s="24" t="str">
        <f>IF(H147="","",IF(I147=TRUE,"",COUNTIF($I$2:I147,FALSE)+1))</f>
        <v/>
      </c>
      <c r="P147" s="89"/>
      <c r="Q147" s="87">
        <v>146</v>
      </c>
      <c r="R147" s="89">
        <f t="shared" si="55"/>
        <v>13</v>
      </c>
      <c r="S147" s="25" t="str">
        <f t="shared" si="49"/>
        <v>Year 13</v>
      </c>
      <c r="T147" s="89" t="str">
        <f t="shared" si="47"/>
        <v/>
      </c>
      <c r="U147" s="89" t="str">
        <f t="shared" si="56"/>
        <v/>
      </c>
      <c r="V147" s="18" t="str">
        <f t="shared" si="48"/>
        <v xml:space="preserve">Month </v>
      </c>
      <c r="W147" s="96">
        <f t="shared" si="57"/>
        <v>4442</v>
      </c>
      <c r="X147" s="89" t="str">
        <f t="shared" si="58"/>
        <v/>
      </c>
      <c r="Y147" s="89" t="str">
        <f t="shared" si="59"/>
        <v/>
      </c>
      <c r="Z147" s="89" t="str">
        <f>IF(U147="","",IF(AND(I147=FALSE,J147="No"),Z146,IF(AND(M146&lt;&gt;0,N146="Yes"),ROUND(-PMT(LOOKUP(W146,'Interest Rates'!$A$5:$A$302,'Interest Rates'!$D$5:$D$302)/12,($D$12-T147+1),U147),0),IF(I147=TRUE,Z146,ROUND(-PMT(VLOOKUP(O147,$A$14:$D$28,4,FALSE)/12,($D$12-T147+1),U147),0)))))</f>
        <v/>
      </c>
      <c r="AA147" s="89" t="str">
        <f t="shared" si="60"/>
        <v/>
      </c>
      <c r="AB147" s="89" t="str">
        <f t="shared" si="61"/>
        <v/>
      </c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104"/>
      <c r="AS147" s="89"/>
      <c r="AT147" s="89"/>
      <c r="AU147" s="89"/>
      <c r="AV147" s="89"/>
      <c r="AW147" s="89"/>
      <c r="AX147" s="89"/>
      <c r="AY147" s="89"/>
      <c r="AZ147" s="89"/>
      <c r="BA147" s="89"/>
      <c r="BB147" s="89"/>
      <c r="BC147" s="89">
        <v>3055</v>
      </c>
      <c r="BD147" s="105" t="s">
        <v>270</v>
      </c>
    </row>
    <row r="148" spans="2:56" x14ac:dyDescent="0.3">
      <c r="B148" s="89"/>
      <c r="C148" s="89"/>
      <c r="D148" s="89"/>
      <c r="E148" s="89"/>
      <c r="F148" s="89"/>
      <c r="G148" s="89"/>
      <c r="H148" s="93" t="str">
        <f t="shared" si="44"/>
        <v/>
      </c>
      <c r="I148" s="89" t="str">
        <f t="shared" si="52"/>
        <v/>
      </c>
      <c r="J148" s="24" t="e">
        <f t="shared" si="45"/>
        <v>#N/A</v>
      </c>
      <c r="K148" s="89" t="str">
        <f t="shared" si="53"/>
        <v/>
      </c>
      <c r="L148" s="89" t="str">
        <f>IF(H148="","",COUNT($M$3:M148))</f>
        <v/>
      </c>
      <c r="M148" s="89" t="str">
        <f t="shared" si="54"/>
        <v/>
      </c>
      <c r="N148" s="24" t="e">
        <f t="shared" si="46"/>
        <v>#N/A</v>
      </c>
      <c r="O148" s="24" t="str">
        <f>IF(H148="","",IF(I148=TRUE,"",COUNTIF($I$2:I148,FALSE)+1))</f>
        <v/>
      </c>
      <c r="P148" s="89"/>
      <c r="Q148" s="24">
        <v>147</v>
      </c>
      <c r="R148" s="89">
        <f t="shared" si="55"/>
        <v>13</v>
      </c>
      <c r="S148" s="25" t="str">
        <f t="shared" si="49"/>
        <v>Year 13</v>
      </c>
      <c r="T148" s="89" t="str">
        <f t="shared" si="47"/>
        <v/>
      </c>
      <c r="U148" s="89" t="str">
        <f t="shared" si="56"/>
        <v/>
      </c>
      <c r="V148" s="18" t="str">
        <f t="shared" si="48"/>
        <v xml:space="preserve">Month </v>
      </c>
      <c r="W148" s="96">
        <f t="shared" si="57"/>
        <v>4471</v>
      </c>
      <c r="X148" s="89" t="str">
        <f t="shared" si="58"/>
        <v/>
      </c>
      <c r="Y148" s="89" t="str">
        <f t="shared" si="59"/>
        <v/>
      </c>
      <c r="Z148" s="89" t="str">
        <f>IF(U148="","",IF(AND(I148=FALSE,J148="No"),Z147,IF(AND(M147&lt;&gt;0,N147="Yes"),ROUND(-PMT(LOOKUP(W147,'Interest Rates'!$A$5:$A$302,'Interest Rates'!$D$5:$D$302)/12,($D$12-T148+1),U148),0),IF(I148=TRUE,Z147,ROUND(-PMT(VLOOKUP(O148,$A$14:$D$28,4,FALSE)/12,($D$12-T148+1),U148),0)))))</f>
        <v/>
      </c>
      <c r="AA148" s="89" t="str">
        <f t="shared" si="60"/>
        <v/>
      </c>
      <c r="AB148" s="89" t="str">
        <f t="shared" si="61"/>
        <v/>
      </c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104"/>
      <c r="AS148" s="89"/>
      <c r="AT148" s="89"/>
      <c r="AU148" s="89"/>
      <c r="AV148" s="89"/>
      <c r="AW148" s="89"/>
      <c r="AX148" s="89"/>
      <c r="AY148" s="89"/>
      <c r="AZ148" s="89"/>
      <c r="BA148" s="89"/>
      <c r="BB148" s="89"/>
      <c r="BC148" s="89">
        <v>3057</v>
      </c>
      <c r="BD148" s="105" t="s">
        <v>271</v>
      </c>
    </row>
    <row r="149" spans="2:56" x14ac:dyDescent="0.3">
      <c r="B149" s="89"/>
      <c r="C149" s="89"/>
      <c r="D149" s="89"/>
      <c r="E149" s="89"/>
      <c r="F149" s="89"/>
      <c r="G149" s="89"/>
      <c r="H149" s="93" t="str">
        <f t="shared" si="44"/>
        <v/>
      </c>
      <c r="I149" s="89" t="str">
        <f t="shared" si="52"/>
        <v/>
      </c>
      <c r="J149" s="24" t="e">
        <f t="shared" si="45"/>
        <v>#N/A</v>
      </c>
      <c r="K149" s="89" t="str">
        <f t="shared" si="53"/>
        <v/>
      </c>
      <c r="L149" s="89" t="str">
        <f>IF(H149="","",COUNT($M$3:M149))</f>
        <v/>
      </c>
      <c r="M149" s="89" t="str">
        <f t="shared" si="54"/>
        <v/>
      </c>
      <c r="N149" s="24" t="e">
        <f t="shared" si="46"/>
        <v>#N/A</v>
      </c>
      <c r="O149" s="24" t="str">
        <f>IF(H149="","",IF(I149=TRUE,"",COUNTIF($I$2:I149,FALSE)+1))</f>
        <v/>
      </c>
      <c r="P149" s="89"/>
      <c r="Q149" s="87">
        <v>148</v>
      </c>
      <c r="R149" s="89">
        <f t="shared" si="55"/>
        <v>14</v>
      </c>
      <c r="S149" s="25" t="str">
        <f t="shared" si="49"/>
        <v>Year 14</v>
      </c>
      <c r="T149" s="89" t="str">
        <f t="shared" si="47"/>
        <v/>
      </c>
      <c r="U149" s="89" t="str">
        <f t="shared" si="56"/>
        <v/>
      </c>
      <c r="V149" s="18" t="str">
        <f t="shared" si="48"/>
        <v xml:space="preserve">Month </v>
      </c>
      <c r="W149" s="96">
        <f t="shared" si="57"/>
        <v>4502</v>
      </c>
      <c r="X149" s="89" t="str">
        <f t="shared" si="58"/>
        <v/>
      </c>
      <c r="Y149" s="89" t="str">
        <f t="shared" si="59"/>
        <v/>
      </c>
      <c r="Z149" s="89" t="str">
        <f>IF(U149="","",IF(AND(I149=FALSE,J149="No"),Z148,IF(AND(M148&lt;&gt;0,N148="Yes"),ROUND(-PMT(LOOKUP(W148,'Interest Rates'!$A$5:$A$302,'Interest Rates'!$D$5:$D$302)/12,($D$12-T149+1),U149),0),IF(I149=TRUE,Z148,ROUND(-PMT(VLOOKUP(O149,$A$14:$D$28,4,FALSE)/12,($D$12-T149+1),U149),0)))))</f>
        <v/>
      </c>
      <c r="AA149" s="89" t="str">
        <f t="shared" si="60"/>
        <v/>
      </c>
      <c r="AB149" s="89" t="str">
        <f t="shared" si="61"/>
        <v/>
      </c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104"/>
      <c r="AS149" s="89"/>
      <c r="AT149" s="89"/>
      <c r="AU149" s="89"/>
      <c r="AV149" s="89"/>
      <c r="AW149" s="89"/>
      <c r="AX149" s="89"/>
      <c r="AY149" s="89"/>
      <c r="AZ149" s="89"/>
      <c r="BA149" s="89"/>
      <c r="BB149" s="89"/>
      <c r="BC149" s="89">
        <v>3061</v>
      </c>
      <c r="BD149" s="105" t="s">
        <v>272</v>
      </c>
    </row>
    <row r="150" spans="2:56" x14ac:dyDescent="0.3">
      <c r="B150" s="89"/>
      <c r="C150" s="89"/>
      <c r="D150" s="89"/>
      <c r="E150" s="89"/>
      <c r="F150" s="89"/>
      <c r="G150" s="89"/>
      <c r="H150" s="93" t="str">
        <f t="shared" si="44"/>
        <v/>
      </c>
      <c r="I150" s="89" t="str">
        <f t="shared" si="52"/>
        <v/>
      </c>
      <c r="J150" s="24" t="e">
        <f t="shared" si="45"/>
        <v>#N/A</v>
      </c>
      <c r="K150" s="89" t="str">
        <f t="shared" si="53"/>
        <v/>
      </c>
      <c r="L150" s="89" t="str">
        <f>IF(H150="","",COUNT($M$3:M150))</f>
        <v/>
      </c>
      <c r="M150" s="89" t="str">
        <f t="shared" si="54"/>
        <v/>
      </c>
      <c r="N150" s="24" t="e">
        <f t="shared" si="46"/>
        <v>#N/A</v>
      </c>
      <c r="O150" s="24" t="str">
        <f>IF(H150="","",IF(I150=TRUE,"",COUNTIF($I$2:I150,FALSE)+1))</f>
        <v/>
      </c>
      <c r="P150" s="89"/>
      <c r="Q150" s="24">
        <v>149</v>
      </c>
      <c r="R150" s="89">
        <f t="shared" si="55"/>
        <v>14</v>
      </c>
      <c r="S150" s="25" t="str">
        <f t="shared" si="49"/>
        <v>Year 14</v>
      </c>
      <c r="T150" s="89" t="str">
        <f t="shared" si="47"/>
        <v/>
      </c>
      <c r="U150" s="89" t="str">
        <f t="shared" si="56"/>
        <v/>
      </c>
      <c r="V150" s="18" t="str">
        <f t="shared" si="48"/>
        <v xml:space="preserve">Month </v>
      </c>
      <c r="W150" s="96">
        <f t="shared" si="57"/>
        <v>4532</v>
      </c>
      <c r="X150" s="89" t="str">
        <f t="shared" si="58"/>
        <v/>
      </c>
      <c r="Y150" s="89" t="str">
        <f t="shared" si="59"/>
        <v/>
      </c>
      <c r="Z150" s="89" t="str">
        <f>IF(U150="","",IF(AND(I150=FALSE,J150="No"),Z149,IF(AND(M149&lt;&gt;0,N149="Yes"),ROUND(-PMT(LOOKUP(W149,'Interest Rates'!$A$5:$A$302,'Interest Rates'!$D$5:$D$302)/12,($D$12-T150+1),U150),0),IF(I150=TRUE,Z149,ROUND(-PMT(VLOOKUP(O150,$A$14:$D$28,4,FALSE)/12,($D$12-T150+1),U150),0)))))</f>
        <v/>
      </c>
      <c r="AA150" s="89" t="str">
        <f t="shared" si="60"/>
        <v/>
      </c>
      <c r="AB150" s="89" t="str">
        <f t="shared" si="61"/>
        <v/>
      </c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104"/>
      <c r="AS150" s="89"/>
      <c r="AT150" s="89"/>
      <c r="AU150" s="89"/>
      <c r="AV150" s="89"/>
      <c r="AW150" s="89"/>
      <c r="AX150" s="89"/>
      <c r="AY150" s="89"/>
      <c r="AZ150" s="89"/>
      <c r="BA150" s="89"/>
      <c r="BB150" s="89"/>
      <c r="BC150" s="89">
        <v>3062</v>
      </c>
      <c r="BD150" s="105" t="s">
        <v>273</v>
      </c>
    </row>
    <row r="151" spans="2:56" x14ac:dyDescent="0.3"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104"/>
      <c r="AS151" s="89"/>
      <c r="AT151" s="89"/>
      <c r="AU151" s="89"/>
      <c r="AV151" s="89"/>
      <c r="AW151" s="89"/>
      <c r="AX151" s="89"/>
      <c r="AY151" s="89"/>
      <c r="AZ151" s="89"/>
      <c r="BA151" s="89"/>
      <c r="BB151" s="89"/>
      <c r="BC151" s="89">
        <v>3067</v>
      </c>
      <c r="BD151" s="105" t="s">
        <v>274</v>
      </c>
    </row>
    <row r="152" spans="2:56" x14ac:dyDescent="0.3"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104"/>
      <c r="AS152" s="89"/>
      <c r="AT152" s="89"/>
      <c r="AU152" s="89"/>
      <c r="AV152" s="89"/>
      <c r="AW152" s="89"/>
      <c r="AX152" s="89"/>
      <c r="AY152" s="89"/>
      <c r="AZ152" s="89"/>
      <c r="BA152" s="89"/>
      <c r="BB152" s="89"/>
      <c r="BC152" s="89">
        <v>3069</v>
      </c>
      <c r="BD152" s="84" t="s">
        <v>275</v>
      </c>
    </row>
    <row r="153" spans="2:56" x14ac:dyDescent="0.3"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104"/>
      <c r="AS153" s="89"/>
      <c r="AT153" s="89"/>
      <c r="AU153" s="89"/>
      <c r="AV153" s="89"/>
      <c r="AW153" s="89"/>
      <c r="AX153" s="89"/>
      <c r="AY153" s="89"/>
      <c r="AZ153" s="89"/>
      <c r="BA153" s="89"/>
      <c r="BB153" s="89"/>
      <c r="BC153" s="89">
        <v>3072</v>
      </c>
      <c r="BD153" s="105" t="s">
        <v>186</v>
      </c>
    </row>
    <row r="154" spans="2:56" x14ac:dyDescent="0.3"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104"/>
      <c r="AS154" s="89"/>
      <c r="AT154" s="89"/>
      <c r="AU154" s="89"/>
      <c r="AV154" s="89"/>
      <c r="AW154" s="89"/>
      <c r="AX154" s="89"/>
      <c r="AY154" s="89"/>
      <c r="AZ154" s="89"/>
      <c r="BA154" s="89"/>
      <c r="BB154" s="89"/>
      <c r="BC154" s="89">
        <v>3073</v>
      </c>
      <c r="BD154" s="105" t="s">
        <v>187</v>
      </c>
    </row>
    <row r="155" spans="2:56" x14ac:dyDescent="0.3"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104"/>
      <c r="AS155" s="89"/>
      <c r="AT155" s="89"/>
      <c r="AU155" s="89"/>
      <c r="AV155" s="89"/>
      <c r="AW155" s="89"/>
      <c r="AX155" s="89"/>
      <c r="AY155" s="89"/>
      <c r="AZ155" s="89"/>
      <c r="BA155" s="89"/>
      <c r="BB155" s="89"/>
      <c r="BC155" s="89">
        <v>3081</v>
      </c>
      <c r="BD155" s="105" t="s">
        <v>276</v>
      </c>
    </row>
    <row r="156" spans="2:56" x14ac:dyDescent="0.3"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104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>
        <v>3082</v>
      </c>
      <c r="BD156" s="105" t="s">
        <v>277</v>
      </c>
    </row>
    <row r="157" spans="2:56" x14ac:dyDescent="0.3"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104"/>
      <c r="AS157" s="89"/>
      <c r="AT157" s="89"/>
      <c r="AU157" s="89"/>
      <c r="AV157" s="89"/>
      <c r="AW157" s="89"/>
      <c r="AX157" s="89"/>
      <c r="AY157" s="89"/>
      <c r="AZ157" s="89"/>
      <c r="BA157" s="89"/>
      <c r="BB157" s="89"/>
      <c r="BC157" s="89">
        <v>3083</v>
      </c>
      <c r="BD157" s="105" t="s">
        <v>278</v>
      </c>
    </row>
    <row r="158" spans="2:56" x14ac:dyDescent="0.3"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104"/>
      <c r="AS158" s="89"/>
      <c r="AT158" s="89"/>
      <c r="AU158" s="89"/>
      <c r="AV158" s="89"/>
      <c r="AW158" s="89"/>
      <c r="AX158" s="89"/>
      <c r="AY158" s="89"/>
      <c r="AZ158" s="89"/>
      <c r="BA158" s="89"/>
      <c r="BB158" s="89"/>
      <c r="BC158" s="89">
        <v>3084</v>
      </c>
      <c r="BD158" s="105" t="s">
        <v>279</v>
      </c>
    </row>
    <row r="159" spans="2:56" x14ac:dyDescent="0.3"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104"/>
      <c r="AS159" s="89"/>
      <c r="AT159" s="89"/>
      <c r="AU159" s="89"/>
      <c r="AV159" s="89"/>
      <c r="AW159" s="89"/>
      <c r="AX159" s="89"/>
      <c r="AY159" s="89"/>
      <c r="AZ159" s="89"/>
      <c r="BA159" s="89"/>
      <c r="BB159" s="89"/>
      <c r="BC159" s="89">
        <v>3088</v>
      </c>
      <c r="BD159" s="105" t="s">
        <v>280</v>
      </c>
    </row>
    <row r="160" spans="2:56" x14ac:dyDescent="0.3"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104"/>
      <c r="AS160" s="89"/>
      <c r="AT160" s="89"/>
      <c r="AU160" s="89"/>
      <c r="AV160" s="89"/>
      <c r="AW160" s="89"/>
      <c r="AX160" s="89"/>
      <c r="AY160" s="89"/>
      <c r="AZ160" s="89"/>
      <c r="BA160" s="89"/>
      <c r="BB160" s="89"/>
      <c r="BC160" s="89">
        <v>3089</v>
      </c>
      <c r="BD160" s="105" t="s">
        <v>281</v>
      </c>
    </row>
    <row r="161" spans="2:56" x14ac:dyDescent="0.3"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104"/>
      <c r="AS161" s="89"/>
      <c r="AT161" s="89"/>
      <c r="AU161" s="89"/>
      <c r="AV161" s="89"/>
      <c r="AW161" s="89"/>
      <c r="AX161" s="89"/>
      <c r="AY161" s="89"/>
      <c r="AZ161" s="89"/>
      <c r="BA161" s="89"/>
      <c r="BB161" s="89"/>
      <c r="BC161" s="89">
        <v>3090</v>
      </c>
      <c r="BD161" s="105" t="s">
        <v>282</v>
      </c>
    </row>
    <row r="162" spans="2:56" x14ac:dyDescent="0.3"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104"/>
      <c r="AS162" s="89"/>
      <c r="AT162" s="89"/>
      <c r="AU162" s="89"/>
      <c r="AV162" s="89"/>
      <c r="AW162" s="89"/>
      <c r="AX162" s="89"/>
      <c r="AY162" s="89"/>
      <c r="AZ162" s="89"/>
      <c r="BA162" s="89"/>
      <c r="BB162" s="89"/>
      <c r="BC162" s="89">
        <v>3091</v>
      </c>
      <c r="BD162" s="105" t="s">
        <v>283</v>
      </c>
    </row>
    <row r="163" spans="2:56" x14ac:dyDescent="0.3"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104"/>
      <c r="AS163" s="89"/>
      <c r="AT163" s="89"/>
      <c r="AU163" s="89"/>
      <c r="AV163" s="89"/>
      <c r="AW163" s="89"/>
      <c r="AX163" s="89"/>
      <c r="AY163" s="89"/>
      <c r="AZ163" s="89"/>
      <c r="BA163" s="89"/>
      <c r="BB163" s="89"/>
      <c r="BC163" s="89">
        <v>3092</v>
      </c>
      <c r="BD163" s="105" t="s">
        <v>284</v>
      </c>
    </row>
    <row r="164" spans="2:56" x14ac:dyDescent="0.3"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104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9">
        <v>3108</v>
      </c>
      <c r="BD164" s="105" t="s">
        <v>285</v>
      </c>
    </row>
    <row r="165" spans="2:56" x14ac:dyDescent="0.3"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104"/>
      <c r="AS165" s="89"/>
      <c r="AT165" s="89"/>
      <c r="AU165" s="89"/>
      <c r="AV165" s="89"/>
      <c r="AW165" s="89"/>
      <c r="AX165" s="89"/>
      <c r="AY165" s="89"/>
      <c r="AZ165" s="89"/>
      <c r="BA165" s="89"/>
      <c r="BB165" s="89"/>
      <c r="BC165" s="89">
        <v>3109</v>
      </c>
      <c r="BD165" s="84" t="s">
        <v>286</v>
      </c>
    </row>
    <row r="166" spans="2:56" x14ac:dyDescent="0.3"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104"/>
      <c r="AS166" s="89"/>
      <c r="AT166" s="89"/>
      <c r="AU166" s="89"/>
      <c r="AV166" s="89"/>
      <c r="AW166" s="89"/>
      <c r="AX166" s="89"/>
      <c r="AY166" s="89"/>
      <c r="AZ166" s="89"/>
      <c r="BA166" s="89"/>
      <c r="BB166" s="89"/>
      <c r="BC166" s="89">
        <v>3111</v>
      </c>
      <c r="BD166" s="105" t="s">
        <v>287</v>
      </c>
    </row>
    <row r="167" spans="2:56" x14ac:dyDescent="0.3"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104"/>
      <c r="AS167" s="89"/>
      <c r="AT167" s="89"/>
      <c r="AU167" s="89"/>
      <c r="AV167" s="89"/>
      <c r="AW167" s="89"/>
      <c r="AX167" s="89"/>
      <c r="AY167" s="89"/>
      <c r="AZ167" s="89"/>
      <c r="BA167" s="89"/>
      <c r="BB167" s="89"/>
      <c r="BC167" s="89">
        <v>3117</v>
      </c>
      <c r="BD167" s="105" t="s">
        <v>288</v>
      </c>
    </row>
    <row r="168" spans="2:56" x14ac:dyDescent="0.3"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104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>
        <v>3120</v>
      </c>
      <c r="BD168" s="105" t="s">
        <v>289</v>
      </c>
    </row>
    <row r="169" spans="2:56" x14ac:dyDescent="0.3"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104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89">
        <v>3122</v>
      </c>
      <c r="BD169" s="105" t="s">
        <v>290</v>
      </c>
    </row>
    <row r="170" spans="2:56" x14ac:dyDescent="0.3"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104"/>
      <c r="AS170" s="89"/>
      <c r="AT170" s="89"/>
      <c r="AU170" s="89"/>
      <c r="AV170" s="89"/>
      <c r="AW170" s="89"/>
      <c r="AX170" s="89"/>
      <c r="AY170" s="89"/>
      <c r="AZ170" s="89"/>
      <c r="BA170" s="89"/>
      <c r="BB170" s="89"/>
      <c r="BC170" s="89">
        <v>3123</v>
      </c>
      <c r="BD170" s="105" t="s">
        <v>291</v>
      </c>
    </row>
    <row r="171" spans="2:56" x14ac:dyDescent="0.3"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104"/>
      <c r="AS171" s="89"/>
      <c r="AT171" s="89"/>
      <c r="AU171" s="89"/>
      <c r="AV171" s="89"/>
      <c r="AW171" s="89"/>
      <c r="AX171" s="89"/>
      <c r="AY171" s="89"/>
      <c r="AZ171" s="89"/>
      <c r="BA171" s="89"/>
      <c r="BB171" s="89"/>
      <c r="BC171" s="89">
        <v>3126</v>
      </c>
      <c r="BD171" s="105" t="s">
        <v>292</v>
      </c>
    </row>
    <row r="172" spans="2:56" x14ac:dyDescent="0.3"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104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9">
        <v>3129</v>
      </c>
      <c r="BD172" s="105" t="s">
        <v>293</v>
      </c>
    </row>
    <row r="173" spans="2:56" x14ac:dyDescent="0.3"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104"/>
      <c r="AS173" s="89"/>
      <c r="AT173" s="89"/>
      <c r="AU173" s="89"/>
      <c r="AV173" s="89"/>
      <c r="AW173" s="89"/>
      <c r="AX173" s="89"/>
      <c r="AY173" s="89"/>
      <c r="AZ173" s="89"/>
      <c r="BA173" s="89"/>
      <c r="BB173" s="89"/>
      <c r="BC173" s="89">
        <v>3130</v>
      </c>
      <c r="BD173" s="105" t="s">
        <v>294</v>
      </c>
    </row>
    <row r="174" spans="2:56" x14ac:dyDescent="0.3"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104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>
        <v>3134</v>
      </c>
      <c r="BD174" s="105" t="s">
        <v>295</v>
      </c>
    </row>
    <row r="175" spans="2:56" x14ac:dyDescent="0.3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104"/>
      <c r="AS175" s="89"/>
      <c r="AT175" s="89"/>
      <c r="AU175" s="89"/>
      <c r="AV175" s="89"/>
      <c r="AW175" s="89"/>
      <c r="AX175" s="89"/>
      <c r="AY175" s="89"/>
      <c r="AZ175" s="89"/>
      <c r="BA175" s="89"/>
      <c r="BB175" s="89"/>
      <c r="BC175" s="89">
        <v>3136</v>
      </c>
      <c r="BD175" s="105" t="s">
        <v>296</v>
      </c>
    </row>
    <row r="176" spans="2:56" x14ac:dyDescent="0.3"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104"/>
      <c r="AS176" s="89"/>
      <c r="AT176" s="89"/>
      <c r="AU176" s="89"/>
      <c r="AV176" s="89"/>
      <c r="AW176" s="89"/>
      <c r="AX176" s="89"/>
      <c r="AY176" s="89"/>
      <c r="AZ176" s="89"/>
      <c r="BA176" s="89"/>
      <c r="BB176" s="89"/>
      <c r="BC176" s="89">
        <v>3137</v>
      </c>
      <c r="BD176" s="105" t="s">
        <v>297</v>
      </c>
    </row>
    <row r="177" spans="2:56" x14ac:dyDescent="0.3"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104"/>
      <c r="AS177" s="89"/>
      <c r="AT177" s="89"/>
      <c r="AU177" s="89"/>
      <c r="AV177" s="89"/>
      <c r="AW177" s="89"/>
      <c r="AX177" s="89"/>
      <c r="AY177" s="89"/>
      <c r="AZ177" s="89"/>
      <c r="BA177" s="89"/>
      <c r="BB177" s="89"/>
      <c r="BC177" s="89">
        <v>3138</v>
      </c>
      <c r="BD177" s="105" t="s">
        <v>298</v>
      </c>
    </row>
    <row r="178" spans="2:56" x14ac:dyDescent="0.3"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104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89">
        <v>3139</v>
      </c>
      <c r="BD178" s="105" t="s">
        <v>299</v>
      </c>
    </row>
    <row r="179" spans="2:56" x14ac:dyDescent="0.3"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104"/>
      <c r="AS179" s="89"/>
      <c r="AT179" s="89"/>
      <c r="AU179" s="89"/>
      <c r="AV179" s="89"/>
      <c r="AW179" s="89"/>
      <c r="AX179" s="89"/>
      <c r="AY179" s="89"/>
      <c r="AZ179" s="89"/>
      <c r="BA179" s="89"/>
      <c r="BB179" s="89"/>
      <c r="BC179" s="89">
        <v>3145</v>
      </c>
      <c r="BD179" s="105" t="s">
        <v>300</v>
      </c>
    </row>
    <row r="180" spans="2:56" x14ac:dyDescent="0.3"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104"/>
      <c r="AS180" s="89"/>
      <c r="AT180" s="89"/>
      <c r="AU180" s="89"/>
      <c r="AV180" s="89"/>
      <c r="AW180" s="89"/>
      <c r="AX180" s="89"/>
      <c r="AY180" s="89"/>
      <c r="AZ180" s="89"/>
      <c r="BA180" s="89"/>
      <c r="BB180" s="89"/>
      <c r="BC180" s="89">
        <v>3146</v>
      </c>
      <c r="BD180" s="105" t="s">
        <v>301</v>
      </c>
    </row>
    <row r="181" spans="2:56" x14ac:dyDescent="0.3"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104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>
        <v>3149</v>
      </c>
      <c r="BD181" s="105" t="s">
        <v>302</v>
      </c>
    </row>
    <row r="182" spans="2:56" x14ac:dyDescent="0.3"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104"/>
      <c r="AS182" s="89"/>
      <c r="AT182" s="89"/>
      <c r="AU182" s="89"/>
      <c r="AV182" s="89"/>
      <c r="AW182" s="89"/>
      <c r="AX182" s="89"/>
      <c r="AY182" s="89"/>
      <c r="AZ182" s="89"/>
      <c r="BA182" s="89"/>
      <c r="BB182" s="89"/>
      <c r="BC182" s="89">
        <v>3150</v>
      </c>
      <c r="BD182" s="105" t="s">
        <v>303</v>
      </c>
    </row>
    <row r="183" spans="2:56" x14ac:dyDescent="0.3"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104"/>
      <c r="AS183" s="89"/>
      <c r="AT183" s="89"/>
      <c r="AU183" s="89"/>
      <c r="AV183" s="89"/>
      <c r="AW183" s="89"/>
      <c r="AX183" s="89"/>
      <c r="AY183" s="89"/>
      <c r="AZ183" s="89"/>
      <c r="BA183" s="89"/>
      <c r="BB183" s="89"/>
      <c r="BC183" s="89">
        <v>3153</v>
      </c>
      <c r="BD183" s="105" t="s">
        <v>304</v>
      </c>
    </row>
    <row r="184" spans="2:56" x14ac:dyDescent="0.3"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104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9">
        <v>3154</v>
      </c>
      <c r="BD184" s="105" t="s">
        <v>305</v>
      </c>
    </row>
    <row r="185" spans="2:56" x14ac:dyDescent="0.3"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104"/>
      <c r="AS185" s="89"/>
      <c r="AT185" s="89"/>
      <c r="AU185" s="89"/>
      <c r="AV185" s="89"/>
      <c r="AW185" s="89"/>
      <c r="AX185" s="89"/>
      <c r="AY185" s="89"/>
      <c r="AZ185" s="89"/>
      <c r="BA185" s="89"/>
      <c r="BB185" s="89"/>
      <c r="BC185" s="89">
        <v>3155</v>
      </c>
      <c r="BD185" s="105" t="s">
        <v>306</v>
      </c>
    </row>
    <row r="186" spans="2:56" x14ac:dyDescent="0.3"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104"/>
      <c r="AS186" s="89"/>
      <c r="AT186" s="89"/>
      <c r="AU186" s="89"/>
      <c r="AV186" s="89"/>
      <c r="AW186" s="89"/>
      <c r="AX186" s="89"/>
      <c r="AY186" s="89"/>
      <c r="AZ186" s="89"/>
      <c r="BA186" s="89"/>
      <c r="BB186" s="89"/>
      <c r="BC186" s="89">
        <v>3158</v>
      </c>
      <c r="BD186" s="105" t="s">
        <v>307</v>
      </c>
    </row>
    <row r="187" spans="2:56" x14ac:dyDescent="0.3"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104"/>
      <c r="AS187" s="89"/>
      <c r="AT187" s="89"/>
      <c r="AU187" s="89"/>
      <c r="AV187" s="89"/>
      <c r="AW187" s="89"/>
      <c r="AX187" s="89"/>
      <c r="AY187" s="89"/>
      <c r="AZ187" s="89"/>
      <c r="BA187" s="89"/>
      <c r="BB187" s="89"/>
      <c r="BC187" s="89">
        <v>3159</v>
      </c>
      <c r="BD187" s="105" t="s">
        <v>308</v>
      </c>
    </row>
    <row r="188" spans="2:56" x14ac:dyDescent="0.3"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104"/>
      <c r="AS188" s="89"/>
      <c r="AT188" s="89"/>
      <c r="AU188" s="89"/>
      <c r="AV188" s="89"/>
      <c r="AW188" s="89"/>
      <c r="AX188" s="89"/>
      <c r="AY188" s="89"/>
      <c r="AZ188" s="89"/>
      <c r="BA188" s="89"/>
      <c r="BB188" s="89"/>
      <c r="BC188" s="89">
        <v>3160</v>
      </c>
      <c r="BD188" s="105" t="s">
        <v>309</v>
      </c>
    </row>
    <row r="189" spans="2:56" x14ac:dyDescent="0.3"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104"/>
      <c r="AS189" s="89"/>
      <c r="AT189" s="89"/>
      <c r="AU189" s="89"/>
      <c r="AV189" s="89"/>
      <c r="AW189" s="89"/>
      <c r="AX189" s="89"/>
      <c r="AY189" s="89"/>
      <c r="AZ189" s="89"/>
      <c r="BA189" s="89"/>
      <c r="BB189" s="89"/>
      <c r="BC189" s="89">
        <v>3167</v>
      </c>
      <c r="BD189" s="105" t="s">
        <v>310</v>
      </c>
    </row>
    <row r="190" spans="2:56" x14ac:dyDescent="0.3"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104"/>
      <c r="AS190" s="89"/>
      <c r="AT190" s="89"/>
      <c r="AU190" s="89"/>
      <c r="AV190" s="89"/>
      <c r="AW190" s="89"/>
      <c r="AX190" s="89"/>
      <c r="AY190" s="89"/>
      <c r="AZ190" s="89"/>
      <c r="BA190" s="89"/>
      <c r="BB190" s="89"/>
      <c r="BC190" s="89">
        <v>3168</v>
      </c>
      <c r="BD190" s="105" t="s">
        <v>311</v>
      </c>
    </row>
    <row r="191" spans="2:56" x14ac:dyDescent="0.3"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104"/>
      <c r="AS191" s="89"/>
      <c r="AT191" s="89"/>
      <c r="AU191" s="89"/>
      <c r="AV191" s="89"/>
      <c r="AW191" s="89"/>
      <c r="AX191" s="89"/>
      <c r="AY191" s="89"/>
      <c r="AZ191" s="89"/>
      <c r="BA191" s="89"/>
      <c r="BB191" s="89"/>
      <c r="BC191" s="89">
        <v>3169</v>
      </c>
      <c r="BD191" s="105" t="s">
        <v>312</v>
      </c>
    </row>
    <row r="192" spans="2:56" x14ac:dyDescent="0.3"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104"/>
      <c r="AS192" s="89"/>
      <c r="AT192" s="89"/>
      <c r="AU192" s="89"/>
      <c r="AV192" s="89"/>
      <c r="AW192" s="89"/>
      <c r="AX192" s="89"/>
      <c r="AY192" s="89"/>
      <c r="AZ192" s="89"/>
      <c r="BA192" s="89"/>
      <c r="BB192" s="89"/>
      <c r="BC192" s="89">
        <v>3171</v>
      </c>
      <c r="BD192" s="105" t="s">
        <v>313</v>
      </c>
    </row>
    <row r="193" spans="2:56" x14ac:dyDescent="0.3"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104"/>
      <c r="AS193" s="89"/>
      <c r="AT193" s="89"/>
      <c r="AU193" s="89"/>
      <c r="AV193" s="89"/>
      <c r="AW193" s="89"/>
      <c r="AX193" s="89"/>
      <c r="AY193" s="89"/>
      <c r="AZ193" s="89"/>
      <c r="BA193" s="89"/>
      <c r="BB193" s="89"/>
      <c r="BC193" s="89">
        <v>3175</v>
      </c>
      <c r="BD193" s="105" t="s">
        <v>314</v>
      </c>
    </row>
    <row r="194" spans="2:56" x14ac:dyDescent="0.3"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104"/>
      <c r="AS194" s="89"/>
      <c r="AT194" s="89"/>
      <c r="AU194" s="89"/>
      <c r="AV194" s="89"/>
      <c r="AW194" s="89"/>
      <c r="AX194" s="89"/>
      <c r="AY194" s="89"/>
      <c r="AZ194" s="89"/>
      <c r="BA194" s="89"/>
      <c r="BB194" s="89"/>
      <c r="BC194" s="89">
        <v>3178</v>
      </c>
      <c r="BD194" s="105" t="s">
        <v>315</v>
      </c>
    </row>
    <row r="195" spans="2:56" x14ac:dyDescent="0.3"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104"/>
      <c r="AS195" s="89"/>
      <c r="AT195" s="89"/>
      <c r="AU195" s="89"/>
      <c r="AV195" s="89"/>
      <c r="AW195" s="89"/>
      <c r="AX195" s="89"/>
      <c r="AY195" s="89"/>
      <c r="AZ195" s="89"/>
      <c r="BA195" s="89"/>
      <c r="BB195" s="89"/>
      <c r="BC195" s="89">
        <v>3179</v>
      </c>
      <c r="BD195" s="105" t="s">
        <v>316</v>
      </c>
    </row>
    <row r="196" spans="2:56" x14ac:dyDescent="0.3"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104"/>
      <c r="AS196" s="89"/>
      <c r="AT196" s="89"/>
      <c r="AU196" s="89"/>
      <c r="AV196" s="89"/>
      <c r="AW196" s="89"/>
      <c r="AX196" s="89"/>
      <c r="AY196" s="89"/>
      <c r="AZ196" s="89"/>
      <c r="BA196" s="89"/>
      <c r="BB196" s="89"/>
      <c r="BC196" s="89">
        <v>3181</v>
      </c>
      <c r="BD196" s="105" t="s">
        <v>317</v>
      </c>
    </row>
    <row r="197" spans="2:56" x14ac:dyDescent="0.3"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104"/>
      <c r="AS197" s="89"/>
      <c r="AT197" s="89"/>
      <c r="AU197" s="89"/>
      <c r="AV197" s="89"/>
      <c r="AW197" s="89"/>
      <c r="AX197" s="89"/>
      <c r="AY197" s="89"/>
      <c r="AZ197" s="89"/>
      <c r="BA197" s="89"/>
      <c r="BB197" s="89"/>
      <c r="BC197" s="89">
        <v>3182</v>
      </c>
      <c r="BD197" s="105" t="s">
        <v>318</v>
      </c>
    </row>
    <row r="198" spans="2:56" x14ac:dyDescent="0.3"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104"/>
      <c r="AS198" s="89"/>
      <c r="AT198" s="89"/>
      <c r="AU198" s="89"/>
      <c r="AV198" s="89"/>
      <c r="AW198" s="89"/>
      <c r="AX198" s="89"/>
      <c r="AY198" s="89"/>
      <c r="AZ198" s="89"/>
      <c r="BA198" s="89"/>
      <c r="BB198" s="89"/>
      <c r="BC198" s="89">
        <v>3183</v>
      </c>
      <c r="BD198" s="105" t="s">
        <v>319</v>
      </c>
    </row>
    <row r="199" spans="2:56" x14ac:dyDescent="0.3"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104"/>
      <c r="AS199" s="89"/>
      <c r="AT199" s="89"/>
      <c r="AU199" s="89"/>
      <c r="AV199" s="89"/>
      <c r="AW199" s="89"/>
      <c r="AX199" s="89"/>
      <c r="AY199" s="89"/>
      <c r="AZ199" s="89"/>
      <c r="BA199" s="89"/>
      <c r="BB199" s="89"/>
      <c r="BC199" s="89">
        <v>3186</v>
      </c>
      <c r="BD199" s="105" t="s">
        <v>320</v>
      </c>
    </row>
    <row r="200" spans="2:56" x14ac:dyDescent="0.3"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104"/>
      <c r="AS200" s="89"/>
      <c r="AT200" s="89"/>
      <c r="AU200" s="89"/>
      <c r="AV200" s="89"/>
      <c r="AW200" s="89"/>
      <c r="AX200" s="89"/>
      <c r="AY200" s="89"/>
      <c r="AZ200" s="89"/>
      <c r="BA200" s="89"/>
      <c r="BB200" s="89"/>
      <c r="BC200" s="89">
        <v>3198</v>
      </c>
      <c r="BD200" s="105" t="s">
        <v>321</v>
      </c>
    </row>
    <row r="201" spans="2:56" x14ac:dyDescent="0.3"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104"/>
      <c r="AS201" s="89"/>
      <c r="AT201" s="89"/>
      <c r="AU201" s="89"/>
      <c r="AV201" s="89"/>
      <c r="AW201" s="89"/>
      <c r="AX201" s="89"/>
      <c r="AY201" s="89"/>
      <c r="AZ201" s="89"/>
      <c r="BA201" s="89"/>
      <c r="BB201" s="89"/>
      <c r="BC201" s="89">
        <v>3199</v>
      </c>
      <c r="BD201" s="105" t="s">
        <v>322</v>
      </c>
    </row>
    <row r="202" spans="2:56" x14ac:dyDescent="0.3"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104"/>
      <c r="AS202" s="89"/>
      <c r="AT202" s="89"/>
      <c r="AU202" s="89"/>
      <c r="AV202" s="89"/>
      <c r="AW202" s="89"/>
      <c r="AX202" s="89"/>
      <c r="AY202" s="89"/>
      <c r="AZ202" s="89"/>
      <c r="BA202" s="89"/>
      <c r="BB202" s="89"/>
      <c r="BC202" s="89">
        <v>3201</v>
      </c>
      <c r="BD202" s="105" t="s">
        <v>323</v>
      </c>
    </row>
    <row r="203" spans="2:56" x14ac:dyDescent="0.3"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104"/>
      <c r="AS203" s="89"/>
      <c r="AT203" s="89"/>
      <c r="AU203" s="89"/>
      <c r="AV203" s="89"/>
      <c r="AW203" s="89"/>
      <c r="AX203" s="89"/>
      <c r="AY203" s="89"/>
      <c r="AZ203" s="89"/>
      <c r="BA203" s="89"/>
      <c r="BB203" s="89"/>
      <c r="BC203" s="89">
        <v>3282</v>
      </c>
      <c r="BD203" s="105" t="s">
        <v>324</v>
      </c>
    </row>
    <row r="204" spans="2:56" x14ac:dyDescent="0.3"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104"/>
      <c r="AS204" s="89"/>
      <c r="AT204" s="89"/>
      <c r="AU204" s="89"/>
      <c r="AV204" s="89"/>
      <c r="AW204" s="89"/>
      <c r="AX204" s="89"/>
      <c r="AY204" s="89"/>
      <c r="AZ204" s="89"/>
      <c r="BA204" s="89"/>
      <c r="BB204" s="89"/>
      <c r="BC204" s="89">
        <v>3284</v>
      </c>
      <c r="BD204" s="105" t="s">
        <v>325</v>
      </c>
    </row>
    <row r="205" spans="2:56" x14ac:dyDescent="0.3"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104"/>
      <c r="AS205" s="89"/>
      <c r="AT205" s="89"/>
      <c r="AU205" s="89"/>
      <c r="AV205" s="89"/>
      <c r="AW205" s="89"/>
      <c r="AX205" s="89"/>
      <c r="AY205" s="89"/>
      <c r="AZ205" s="89"/>
      <c r="BA205" s="89"/>
      <c r="BB205" s="89"/>
      <c r="BC205" s="89">
        <v>3289</v>
      </c>
      <c r="BD205" s="105" t="s">
        <v>326</v>
      </c>
    </row>
    <row r="206" spans="2:56" x14ac:dyDescent="0.3"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104"/>
      <c r="AS206" s="89"/>
      <c r="AT206" s="89"/>
      <c r="AU206" s="89"/>
      <c r="AV206" s="89"/>
      <c r="AW206" s="89"/>
      <c r="AX206" s="89"/>
      <c r="AY206" s="89"/>
      <c r="AZ206" s="89"/>
      <c r="BA206" s="89"/>
      <c r="BB206" s="89"/>
      <c r="BC206" s="89">
        <v>3294</v>
      </c>
      <c r="BD206" s="105" t="s">
        <v>327</v>
      </c>
    </row>
    <row r="207" spans="2:56" x14ac:dyDescent="0.3"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104"/>
      <c r="AS207" s="89"/>
      <c r="AT207" s="89"/>
      <c r="AU207" s="89"/>
      <c r="AV207" s="89"/>
      <c r="AW207" s="89"/>
      <c r="AX207" s="89"/>
      <c r="AY207" s="89"/>
      <c r="AZ207" s="89"/>
      <c r="BA207" s="89"/>
      <c r="BB207" s="89"/>
      <c r="BC207" s="89">
        <v>3295</v>
      </c>
      <c r="BD207" s="105" t="s">
        <v>188</v>
      </c>
    </row>
    <row r="208" spans="2:56" x14ac:dyDescent="0.3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104"/>
      <c r="AS208" s="89"/>
      <c r="AT208" s="89"/>
      <c r="AU208" s="89"/>
      <c r="AV208" s="89"/>
      <c r="AW208" s="89"/>
      <c r="AX208" s="89"/>
      <c r="AY208" s="89"/>
      <c r="AZ208" s="89"/>
      <c r="BA208" s="89"/>
      <c r="BB208" s="89"/>
      <c r="BC208" s="89">
        <v>3296</v>
      </c>
      <c r="BD208" s="105" t="s">
        <v>328</v>
      </c>
    </row>
    <row r="209" spans="2:56" x14ac:dyDescent="0.3"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104"/>
      <c r="AS209" s="89"/>
      <c r="AT209" s="89"/>
      <c r="AU209" s="89"/>
      <c r="AV209" s="89"/>
      <c r="AW209" s="89"/>
      <c r="AX209" s="89"/>
      <c r="AY209" s="89"/>
      <c r="AZ209" s="89"/>
      <c r="BA209" s="89"/>
      <c r="BB209" s="89"/>
      <c r="BC209" s="89">
        <v>3297</v>
      </c>
      <c r="BD209" s="105" t="s">
        <v>329</v>
      </c>
    </row>
    <row r="210" spans="2:56" x14ac:dyDescent="0.3"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104"/>
      <c r="AS210" s="89"/>
      <c r="AT210" s="89"/>
      <c r="AU210" s="89"/>
      <c r="AV210" s="89"/>
      <c r="AW210" s="89"/>
      <c r="AX210" s="89"/>
      <c r="AY210" s="89"/>
      <c r="AZ210" s="89"/>
      <c r="BA210" s="89"/>
      <c r="BB210" s="89"/>
      <c r="BC210" s="89">
        <v>3298</v>
      </c>
      <c r="BD210" s="105" t="s">
        <v>330</v>
      </c>
    </row>
    <row r="211" spans="2:56" x14ac:dyDescent="0.3"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104"/>
      <c r="AS211" s="89"/>
      <c r="AT211" s="89"/>
      <c r="AU211" s="89"/>
      <c r="AV211" s="89"/>
      <c r="AW211" s="89"/>
      <c r="AX211" s="89"/>
      <c r="AY211" s="89"/>
      <c r="AZ211" s="89"/>
      <c r="BA211" s="89"/>
      <c r="BB211" s="89"/>
      <c r="BC211" s="89">
        <v>3299</v>
      </c>
      <c r="BD211" s="105" t="s">
        <v>189</v>
      </c>
    </row>
    <row r="212" spans="2:56" x14ac:dyDescent="0.3"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104"/>
      <c r="AS212" s="89"/>
      <c r="AT212" s="89"/>
      <c r="AU212" s="89"/>
      <c r="AV212" s="89"/>
      <c r="AW212" s="89"/>
      <c r="AX212" s="89"/>
      <c r="AY212" s="89"/>
      <c r="AZ212" s="89"/>
      <c r="BA212" s="89"/>
      <c r="BB212" s="89"/>
      <c r="BC212" s="89">
        <v>3303</v>
      </c>
      <c r="BD212" s="105" t="s">
        <v>331</v>
      </c>
    </row>
    <row r="213" spans="2:56" x14ac:dyDescent="0.3"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104"/>
      <c r="AS213" s="89"/>
      <c r="AT213" s="89"/>
      <c r="AU213" s="89"/>
      <c r="AV213" s="89"/>
      <c r="AW213" s="89"/>
      <c r="AX213" s="89"/>
      <c r="AY213" s="89"/>
      <c r="AZ213" s="89"/>
      <c r="BA213" s="89"/>
      <c r="BB213" s="89"/>
      <c r="BC213" s="89">
        <v>3307</v>
      </c>
      <c r="BD213" s="105" t="s">
        <v>332</v>
      </c>
    </row>
    <row r="214" spans="2:56" x14ac:dyDescent="0.3"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104"/>
      <c r="AS214" s="89"/>
      <c r="AT214" s="89"/>
      <c r="AU214" s="89"/>
      <c r="AV214" s="89"/>
      <c r="AW214" s="89"/>
      <c r="AX214" s="89"/>
      <c r="AY214" s="89"/>
      <c r="AZ214" s="89"/>
      <c r="BA214" s="89"/>
      <c r="BB214" s="89"/>
      <c r="BC214" s="89">
        <v>3308</v>
      </c>
      <c r="BD214" s="105" t="s">
        <v>333</v>
      </c>
    </row>
    <row r="215" spans="2:56" x14ac:dyDescent="0.3"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104"/>
      <c r="AS215" s="89"/>
      <c r="AT215" s="89"/>
      <c r="AU215" s="89"/>
      <c r="AV215" s="89"/>
      <c r="AW215" s="89"/>
      <c r="AX215" s="89"/>
      <c r="AY215" s="89"/>
      <c r="AZ215" s="89"/>
      <c r="BA215" s="89"/>
      <c r="BB215" s="89"/>
      <c r="BC215" s="89">
        <v>3309</v>
      </c>
      <c r="BD215" s="105" t="s">
        <v>334</v>
      </c>
    </row>
    <row r="216" spans="2:56" x14ac:dyDescent="0.3"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104"/>
      <c r="AS216" s="89"/>
      <c r="AT216" s="89"/>
      <c r="AU216" s="89"/>
      <c r="AV216" s="89"/>
      <c r="AW216" s="89"/>
      <c r="AX216" s="89"/>
      <c r="AY216" s="89"/>
      <c r="AZ216" s="89"/>
      <c r="BA216" s="89"/>
      <c r="BB216" s="89"/>
      <c r="BC216" s="89">
        <v>3312</v>
      </c>
      <c r="BD216" s="105" t="s">
        <v>335</v>
      </c>
    </row>
    <row r="217" spans="2:56" x14ac:dyDescent="0.3"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104"/>
      <c r="AS217" s="89"/>
      <c r="AT217" s="89"/>
      <c r="AU217" s="89"/>
      <c r="AV217" s="89"/>
      <c r="AW217" s="89"/>
      <c r="AX217" s="89"/>
      <c r="AY217" s="89"/>
      <c r="AZ217" s="89"/>
      <c r="BA217" s="89"/>
      <c r="BB217" s="89"/>
      <c r="BC217" s="89">
        <v>3314</v>
      </c>
      <c r="BD217" s="105" t="s">
        <v>336</v>
      </c>
    </row>
    <row r="218" spans="2:56" x14ac:dyDescent="0.3"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104"/>
      <c r="AS218" s="89"/>
      <c r="AT218" s="89"/>
      <c r="AU218" s="89"/>
      <c r="AV218" s="89"/>
      <c r="AW218" s="89"/>
      <c r="AX218" s="89"/>
      <c r="AY218" s="89"/>
      <c r="AZ218" s="89"/>
      <c r="BA218" s="89"/>
      <c r="BB218" s="89"/>
      <c r="BC218" s="89">
        <v>3317</v>
      </c>
      <c r="BD218" s="105" t="s">
        <v>337</v>
      </c>
    </row>
    <row r="219" spans="2:56" x14ac:dyDescent="0.3"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104"/>
      <c r="AS219" s="89"/>
      <c r="AT219" s="89"/>
      <c r="AU219" s="89"/>
      <c r="AV219" s="89"/>
      <c r="AW219" s="89"/>
      <c r="AX219" s="89"/>
      <c r="AY219" s="89"/>
      <c r="AZ219" s="89"/>
      <c r="BA219" s="89"/>
      <c r="BB219" s="89"/>
      <c r="BC219" s="89">
        <v>3318</v>
      </c>
      <c r="BD219" s="105" t="s">
        <v>338</v>
      </c>
    </row>
    <row r="220" spans="2:56" x14ac:dyDescent="0.3"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104"/>
      <c r="AS220" s="89"/>
      <c r="AT220" s="89"/>
      <c r="AU220" s="89"/>
      <c r="AV220" s="89"/>
      <c r="AW220" s="89"/>
      <c r="AX220" s="89"/>
      <c r="AY220" s="89"/>
      <c r="AZ220" s="89"/>
      <c r="BA220" s="89"/>
      <c r="BB220" s="89"/>
      <c r="BC220" s="89">
        <v>3320</v>
      </c>
      <c r="BD220" s="84" t="s">
        <v>339</v>
      </c>
    </row>
    <row r="221" spans="2:56" x14ac:dyDescent="0.3"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104"/>
      <c r="AS221" s="89"/>
      <c r="AT221" s="89"/>
      <c r="AU221" s="89"/>
      <c r="AV221" s="89"/>
      <c r="AW221" s="89"/>
      <c r="AX221" s="89"/>
      <c r="AY221" s="89"/>
      <c r="AZ221" s="89"/>
      <c r="BA221" s="89"/>
      <c r="BB221" s="89"/>
      <c r="BC221" s="89">
        <v>3322</v>
      </c>
      <c r="BD221" s="105" t="s">
        <v>340</v>
      </c>
    </row>
    <row r="222" spans="2:56" x14ac:dyDescent="0.3"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104"/>
      <c r="AS222" s="89"/>
      <c r="AT222" s="89"/>
      <c r="AU222" s="89"/>
      <c r="AV222" s="89"/>
      <c r="AW222" s="89"/>
      <c r="AX222" s="89"/>
      <c r="AY222" s="89"/>
      <c r="AZ222" s="89"/>
      <c r="BA222" s="89"/>
      <c r="BB222" s="89"/>
      <c r="BC222" s="89">
        <v>3323</v>
      </c>
      <c r="BD222" s="105" t="s">
        <v>341</v>
      </c>
    </row>
    <row r="223" spans="2:56" x14ac:dyDescent="0.3"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104"/>
      <c r="AS223" s="89"/>
      <c r="AT223" s="89"/>
      <c r="AU223" s="89"/>
      <c r="AV223" s="89"/>
      <c r="AW223" s="89"/>
      <c r="AX223" s="89"/>
      <c r="AY223" s="89"/>
      <c r="AZ223" s="89"/>
      <c r="BA223" s="89"/>
      <c r="BB223" s="89"/>
      <c r="BC223" s="89">
        <v>3325</v>
      </c>
      <c r="BD223" s="84" t="s">
        <v>342</v>
      </c>
    </row>
    <row r="224" spans="2:56" x14ac:dyDescent="0.3"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104"/>
      <c r="AS224" s="89"/>
      <c r="AT224" s="89"/>
      <c r="AU224" s="89"/>
      <c r="AV224" s="89"/>
      <c r="AW224" s="89"/>
      <c r="AX224" s="89"/>
      <c r="AY224" s="89"/>
      <c r="AZ224" s="89"/>
      <c r="BA224" s="89"/>
      <c r="BB224" s="89"/>
      <c r="BC224" s="89">
        <v>3328</v>
      </c>
      <c r="BD224" s="105" t="s">
        <v>343</v>
      </c>
    </row>
    <row r="225" spans="2:56" x14ac:dyDescent="0.3"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104"/>
      <c r="AS225" s="89"/>
      <c r="AT225" s="89"/>
      <c r="AU225" s="89"/>
      <c r="AV225" s="89"/>
      <c r="AW225" s="89"/>
      <c r="AX225" s="89"/>
      <c r="AY225" s="89"/>
      <c r="AZ225" s="89"/>
      <c r="BA225" s="89"/>
      <c r="BB225" s="89"/>
      <c r="BC225" s="89">
        <v>3332</v>
      </c>
      <c r="BD225" s="105" t="s">
        <v>344</v>
      </c>
    </row>
    <row r="226" spans="2:56" x14ac:dyDescent="0.3"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104"/>
      <c r="AS226" s="89"/>
      <c r="AT226" s="89"/>
      <c r="AU226" s="89"/>
      <c r="AV226" s="89"/>
      <c r="AW226" s="89"/>
      <c r="AX226" s="89"/>
      <c r="AY226" s="89"/>
      <c r="AZ226" s="89"/>
      <c r="BA226" s="89"/>
      <c r="BB226" s="89"/>
      <c r="BC226" s="89">
        <v>3337</v>
      </c>
      <c r="BD226" s="105" t="s">
        <v>345</v>
      </c>
    </row>
    <row r="227" spans="2:56" x14ac:dyDescent="0.3"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104"/>
      <c r="AS227" s="89"/>
      <c r="AT227" s="89"/>
      <c r="AU227" s="89"/>
      <c r="AV227" s="89"/>
      <c r="AW227" s="89"/>
      <c r="AX227" s="89"/>
      <c r="AY227" s="89"/>
      <c r="AZ227" s="89"/>
      <c r="BA227" s="89"/>
      <c r="BB227" s="89"/>
      <c r="BC227" s="89">
        <v>3338</v>
      </c>
      <c r="BD227" s="105" t="s">
        <v>346</v>
      </c>
    </row>
    <row r="228" spans="2:56" x14ac:dyDescent="0.3"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104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>
        <v>3339</v>
      </c>
      <c r="BD228" s="105" t="s">
        <v>347</v>
      </c>
    </row>
    <row r="229" spans="2:56" x14ac:dyDescent="0.3"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104"/>
      <c r="AS229" s="89"/>
      <c r="AT229" s="89"/>
      <c r="AU229" s="89"/>
      <c r="AV229" s="89"/>
      <c r="AW229" s="89"/>
      <c r="AX229" s="89"/>
      <c r="AY229" s="89"/>
      <c r="AZ229" s="89"/>
      <c r="BA229" s="89"/>
      <c r="BB229" s="89"/>
      <c r="BC229" s="89">
        <v>3340</v>
      </c>
      <c r="BD229" s="105" t="s">
        <v>348</v>
      </c>
    </row>
    <row r="230" spans="2:56" x14ac:dyDescent="0.3"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104"/>
      <c r="AS230" s="89"/>
      <c r="AT230" s="89"/>
      <c r="AU230" s="89"/>
      <c r="AV230" s="89"/>
      <c r="AW230" s="89"/>
      <c r="AX230" s="89"/>
      <c r="AY230" s="89"/>
      <c r="AZ230" s="89"/>
      <c r="BA230" s="89"/>
      <c r="BB230" s="89"/>
      <c r="BC230" s="89">
        <v>3346</v>
      </c>
      <c r="BD230" s="105" t="s">
        <v>349</v>
      </c>
    </row>
    <row r="231" spans="2:56" x14ac:dyDescent="0.3"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104"/>
      <c r="AS231" s="89"/>
      <c r="AT231" s="89"/>
      <c r="AU231" s="89"/>
      <c r="AV231" s="89"/>
      <c r="AW231" s="89"/>
      <c r="AX231" s="89"/>
      <c r="AY231" s="89"/>
      <c r="AZ231" s="89"/>
      <c r="BA231" s="89"/>
      <c r="BB231" s="89"/>
      <c r="BC231" s="89">
        <v>3347</v>
      </c>
      <c r="BD231" s="105" t="s">
        <v>350</v>
      </c>
    </row>
    <row r="232" spans="2:56" x14ac:dyDescent="0.3"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104"/>
      <c r="AS232" s="89"/>
      <c r="AT232" s="89"/>
      <c r="AU232" s="89"/>
      <c r="AV232" s="89"/>
      <c r="AW232" s="89"/>
      <c r="AX232" s="89"/>
      <c r="AY232" s="89"/>
      <c r="AZ232" s="89"/>
      <c r="BA232" s="89"/>
      <c r="BB232" s="89"/>
      <c r="BC232" s="89">
        <v>3350</v>
      </c>
      <c r="BD232" s="105" t="s">
        <v>351</v>
      </c>
    </row>
    <row r="233" spans="2:56" x14ac:dyDescent="0.3"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104"/>
      <c r="AS233" s="89"/>
      <c r="AT233" s="89"/>
      <c r="AU233" s="89"/>
      <c r="AV233" s="89"/>
      <c r="AW233" s="89"/>
      <c r="AX233" s="89"/>
      <c r="AY233" s="89"/>
      <c r="AZ233" s="89"/>
      <c r="BA233" s="89"/>
      <c r="BB233" s="89"/>
      <c r="BC233" s="89">
        <v>3351</v>
      </c>
      <c r="BD233" s="105" t="s">
        <v>352</v>
      </c>
    </row>
    <row r="234" spans="2:56" x14ac:dyDescent="0.3"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104"/>
      <c r="AS234" s="89"/>
      <c r="AT234" s="89"/>
      <c r="AU234" s="89"/>
      <c r="AV234" s="89"/>
      <c r="AW234" s="89"/>
      <c r="AX234" s="89"/>
      <c r="AY234" s="89"/>
      <c r="AZ234" s="89"/>
      <c r="BA234" s="89"/>
      <c r="BB234" s="89"/>
      <c r="BC234" s="89">
        <v>3356</v>
      </c>
      <c r="BD234" s="105" t="s">
        <v>353</v>
      </c>
    </row>
    <row r="235" spans="2:56" x14ac:dyDescent="0.3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104"/>
      <c r="AS235" s="89"/>
      <c r="AT235" s="89"/>
      <c r="AU235" s="89"/>
      <c r="AV235" s="89"/>
      <c r="AW235" s="89"/>
      <c r="AX235" s="89"/>
      <c r="AY235" s="89"/>
      <c r="AZ235" s="89"/>
      <c r="BA235" s="89"/>
      <c r="BB235" s="89"/>
      <c r="BC235" s="89">
        <v>3360</v>
      </c>
      <c r="BD235" s="105" t="s">
        <v>354</v>
      </c>
    </row>
    <row r="236" spans="2:56" x14ac:dyDescent="0.3"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104"/>
      <c r="AS236" s="89"/>
      <c r="AT236" s="89"/>
      <c r="AU236" s="89"/>
      <c r="AV236" s="89"/>
      <c r="AW236" s="89"/>
      <c r="AX236" s="89"/>
      <c r="AY236" s="89"/>
      <c r="AZ236" s="89"/>
      <c r="BA236" s="89"/>
      <c r="BB236" s="89"/>
      <c r="BC236" s="89">
        <v>3364</v>
      </c>
      <c r="BD236" s="105" t="s">
        <v>355</v>
      </c>
    </row>
    <row r="237" spans="2:56" x14ac:dyDescent="0.3"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104"/>
      <c r="AS237" s="89"/>
      <c r="AT237" s="89"/>
      <c r="AU237" s="89"/>
      <c r="AV237" s="89"/>
      <c r="AW237" s="89"/>
      <c r="AX237" s="89"/>
      <c r="AY237" s="89"/>
      <c r="AZ237" s="89"/>
      <c r="BA237" s="89"/>
      <c r="BB237" s="89"/>
      <c r="BC237" s="89">
        <v>3373</v>
      </c>
      <c r="BD237" s="105" t="s">
        <v>356</v>
      </c>
    </row>
    <row r="238" spans="2:56" x14ac:dyDescent="0.3"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104"/>
      <c r="AS238" s="89"/>
      <c r="AT238" s="89"/>
      <c r="AU238" s="89"/>
      <c r="AV238" s="89"/>
      <c r="AW238" s="89"/>
      <c r="AX238" s="89"/>
      <c r="AY238" s="89"/>
      <c r="AZ238" s="89"/>
      <c r="BA238" s="89"/>
      <c r="BB238" s="89"/>
      <c r="BC238" s="89">
        <v>3718</v>
      </c>
      <c r="BD238" s="84" t="s">
        <v>357</v>
      </c>
    </row>
    <row r="239" spans="2:56" x14ac:dyDescent="0.3"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104"/>
      <c r="AS239" s="89"/>
      <c r="AT239" s="89"/>
      <c r="AU239" s="89"/>
      <c r="AV239" s="89"/>
      <c r="AW239" s="89"/>
      <c r="AX239" s="89"/>
      <c r="AY239" s="89"/>
      <c r="AZ239" s="89"/>
      <c r="BA239" s="89"/>
      <c r="BB239" s="89"/>
      <c r="BC239" s="89">
        <v>3722</v>
      </c>
      <c r="BD239" s="105" t="s">
        <v>358</v>
      </c>
    </row>
    <row r="240" spans="2:56" x14ac:dyDescent="0.3"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104"/>
      <c r="AS240" s="89"/>
      <c r="AT240" s="89"/>
      <c r="AU240" s="89"/>
      <c r="AV240" s="89"/>
      <c r="AW240" s="89"/>
      <c r="AX240" s="89"/>
      <c r="AY240" s="89"/>
      <c r="AZ240" s="89"/>
      <c r="BA240" s="89"/>
      <c r="BB240" s="89"/>
      <c r="BC240" s="89">
        <v>3728</v>
      </c>
      <c r="BD240" s="84" t="s">
        <v>359</v>
      </c>
    </row>
    <row r="241" spans="2:56" x14ac:dyDescent="0.3"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104"/>
      <c r="AS241" s="89"/>
      <c r="AT241" s="89"/>
      <c r="AU241" s="89"/>
      <c r="AV241" s="89"/>
      <c r="AW241" s="89"/>
      <c r="AX241" s="89"/>
      <c r="AY241" s="89"/>
      <c r="AZ241" s="89"/>
      <c r="BA241" s="89"/>
      <c r="BB241" s="89"/>
      <c r="BC241" s="89">
        <v>3733</v>
      </c>
      <c r="BD241" s="105" t="s">
        <v>360</v>
      </c>
    </row>
    <row r="242" spans="2:56" x14ac:dyDescent="0.3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104"/>
      <c r="AS242" s="89"/>
      <c r="AT242" s="89"/>
      <c r="AU242" s="89"/>
      <c r="AV242" s="89"/>
      <c r="AW242" s="89"/>
      <c r="AX242" s="89"/>
      <c r="AY242" s="89"/>
      <c r="AZ242" s="89"/>
      <c r="BA242" s="89"/>
      <c r="BB242" s="89"/>
      <c r="BC242" s="89">
        <v>3749</v>
      </c>
      <c r="BD242" s="105" t="s">
        <v>361</v>
      </c>
    </row>
    <row r="243" spans="2:56" x14ac:dyDescent="0.3"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104"/>
      <c r="AS243" s="89"/>
      <c r="AT243" s="89"/>
      <c r="AU243" s="89"/>
      <c r="AV243" s="89"/>
      <c r="AW243" s="89"/>
      <c r="AX243" s="89"/>
      <c r="AY243" s="89"/>
      <c r="AZ243" s="89"/>
      <c r="BA243" s="89"/>
      <c r="BB243" s="89"/>
      <c r="BC243" s="89">
        <v>3893</v>
      </c>
      <c r="BD243" s="105" t="s">
        <v>190</v>
      </c>
    </row>
    <row r="244" spans="2:56" x14ac:dyDescent="0.3"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104"/>
      <c r="AS244" s="89"/>
      <c r="AT244" s="89"/>
      <c r="AU244" s="89"/>
      <c r="AV244" s="89"/>
      <c r="AW244" s="89"/>
      <c r="AX244" s="89"/>
      <c r="AY244" s="89"/>
      <c r="AZ244" s="89"/>
      <c r="BA244" s="89"/>
      <c r="BB244" s="89"/>
      <c r="BC244" s="89">
        <v>3896</v>
      </c>
      <c r="BD244" s="105" t="s">
        <v>191</v>
      </c>
    </row>
    <row r="245" spans="2:56" x14ac:dyDescent="0.3"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104"/>
      <c r="AS245" s="89"/>
      <c r="AT245" s="89"/>
      <c r="AU245" s="89"/>
      <c r="AV245" s="89"/>
      <c r="AW245" s="89"/>
      <c r="AX245" s="89"/>
      <c r="AY245" s="89"/>
      <c r="AZ245" s="89"/>
      <c r="BA245" s="89"/>
      <c r="BB245" s="89"/>
      <c r="BC245" s="89">
        <v>3898</v>
      </c>
      <c r="BD245" s="105" t="s">
        <v>192</v>
      </c>
    </row>
    <row r="246" spans="2:56" x14ac:dyDescent="0.3"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104"/>
      <c r="AS246" s="89"/>
      <c r="AT246" s="89"/>
      <c r="AU246" s="89"/>
      <c r="AV246" s="89"/>
      <c r="AW246" s="89"/>
      <c r="AX246" s="89"/>
      <c r="AY246" s="89"/>
      <c r="AZ246" s="89"/>
      <c r="BA246" s="89"/>
      <c r="BB246" s="89"/>
      <c r="BC246" s="89">
        <v>3902</v>
      </c>
      <c r="BD246" s="105" t="s">
        <v>362</v>
      </c>
    </row>
    <row r="247" spans="2:56" x14ac:dyDescent="0.3"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104"/>
      <c r="AS247" s="89"/>
      <c r="AT247" s="89"/>
      <c r="AU247" s="89"/>
      <c r="AV247" s="89"/>
      <c r="AW247" s="89"/>
      <c r="AX247" s="89"/>
      <c r="AY247" s="89"/>
      <c r="AZ247" s="89"/>
      <c r="BA247" s="89"/>
      <c r="BB247" s="89"/>
      <c r="BC247" s="89">
        <v>3904</v>
      </c>
      <c r="BD247" s="84" t="s">
        <v>193</v>
      </c>
    </row>
    <row r="248" spans="2:56" x14ac:dyDescent="0.3"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104"/>
      <c r="AS248" s="89"/>
      <c r="AT248" s="89"/>
      <c r="AU248" s="89"/>
      <c r="AV248" s="89"/>
      <c r="AW248" s="89"/>
      <c r="AX248" s="89"/>
      <c r="AY248" s="89"/>
      <c r="AZ248" s="89"/>
      <c r="BA248" s="89"/>
      <c r="BB248" s="89"/>
      <c r="BC248" s="89">
        <v>3906</v>
      </c>
      <c r="BD248" s="105" t="s">
        <v>194</v>
      </c>
    </row>
    <row r="249" spans="2:56" x14ac:dyDescent="0.3"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104"/>
      <c r="AS249" s="89"/>
      <c r="AT249" s="89"/>
      <c r="AU249" s="89"/>
      <c r="AV249" s="89"/>
      <c r="AW249" s="89"/>
      <c r="AX249" s="89"/>
      <c r="AY249" s="89"/>
      <c r="AZ249" s="89"/>
      <c r="BA249" s="89"/>
      <c r="BB249" s="89"/>
      <c r="BC249" s="89">
        <v>3907</v>
      </c>
      <c r="BD249" s="105" t="s">
        <v>195</v>
      </c>
    </row>
    <row r="250" spans="2:56" x14ac:dyDescent="0.3"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104"/>
      <c r="AS250" s="89"/>
      <c r="AT250" s="89"/>
      <c r="AU250" s="89"/>
      <c r="AV250" s="89"/>
      <c r="AW250" s="89"/>
      <c r="AX250" s="89"/>
      <c r="AY250" s="89"/>
      <c r="AZ250" s="89"/>
      <c r="BA250" s="89"/>
      <c r="BB250" s="89"/>
      <c r="BC250" s="89">
        <v>3909</v>
      </c>
      <c r="BD250" s="105" t="s">
        <v>196</v>
      </c>
    </row>
    <row r="251" spans="2:56" x14ac:dyDescent="0.3"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104"/>
      <c r="AS251" s="89"/>
      <c r="AT251" s="89"/>
      <c r="AU251" s="89"/>
      <c r="AV251" s="89"/>
      <c r="AW251" s="89"/>
      <c r="AX251" s="89"/>
      <c r="AY251" s="89"/>
      <c r="AZ251" s="89"/>
      <c r="BA251" s="89"/>
      <c r="BB251" s="89"/>
      <c r="BC251" s="89">
        <v>3910</v>
      </c>
      <c r="BD251" s="105" t="s">
        <v>197</v>
      </c>
    </row>
    <row r="252" spans="2:56" x14ac:dyDescent="0.3"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104"/>
      <c r="AS252" s="89"/>
      <c r="AT252" s="89"/>
      <c r="AU252" s="89"/>
      <c r="AV252" s="89"/>
      <c r="AW252" s="89"/>
      <c r="AX252" s="89"/>
      <c r="AY252" s="89"/>
      <c r="AZ252" s="89"/>
      <c r="BA252" s="89"/>
      <c r="BB252" s="89"/>
      <c r="BC252" s="89">
        <v>3913</v>
      </c>
      <c r="BD252" s="105" t="s">
        <v>363</v>
      </c>
    </row>
    <row r="253" spans="2:56" x14ac:dyDescent="0.3"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104"/>
      <c r="AS253" s="89"/>
      <c r="AT253" s="89"/>
      <c r="AU253" s="89"/>
      <c r="AV253" s="89"/>
      <c r="AW253" s="89"/>
      <c r="AX253" s="89"/>
      <c r="AY253" s="89"/>
      <c r="AZ253" s="89"/>
      <c r="BA253" s="89"/>
      <c r="BB253" s="89"/>
      <c r="BC253" s="89">
        <v>3916</v>
      </c>
      <c r="BD253" s="105" t="s">
        <v>198</v>
      </c>
    </row>
    <row r="254" spans="2:56" x14ac:dyDescent="0.3"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104"/>
      <c r="AS254" s="89"/>
      <c r="AT254" s="89"/>
      <c r="AU254" s="89"/>
      <c r="AV254" s="89"/>
      <c r="AW254" s="89"/>
      <c r="AX254" s="89"/>
      <c r="AY254" s="89"/>
      <c r="AZ254" s="89"/>
      <c r="BA254" s="89"/>
      <c r="BB254" s="89"/>
      <c r="BC254" s="89">
        <v>3917</v>
      </c>
      <c r="BD254" s="105" t="s">
        <v>199</v>
      </c>
    </row>
    <row r="255" spans="2:56" x14ac:dyDescent="0.3"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104"/>
      <c r="AS255" s="89"/>
      <c r="AT255" s="89"/>
      <c r="AU255" s="89"/>
      <c r="AV255" s="89"/>
      <c r="AW255" s="89"/>
      <c r="AX255" s="89"/>
      <c r="AY255" s="89"/>
      <c r="AZ255" s="89"/>
      <c r="BA255" s="89"/>
      <c r="BB255" s="89"/>
      <c r="BC255" s="89">
        <v>3918</v>
      </c>
      <c r="BD255" s="105" t="s">
        <v>364</v>
      </c>
    </row>
    <row r="256" spans="2:56" x14ac:dyDescent="0.3"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104"/>
      <c r="AS256" s="89"/>
      <c r="AT256" s="89"/>
      <c r="AU256" s="89"/>
      <c r="AV256" s="89"/>
      <c r="AW256" s="89"/>
      <c r="AX256" s="89"/>
      <c r="AY256" s="89"/>
      <c r="AZ256" s="89"/>
      <c r="BA256" s="89"/>
      <c r="BB256" s="89"/>
      <c r="BC256" s="89">
        <v>3920</v>
      </c>
      <c r="BD256" s="105" t="s">
        <v>200</v>
      </c>
    </row>
    <row r="257" spans="2:56" x14ac:dyDescent="0.3"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104"/>
      <c r="AS257" s="89"/>
      <c r="AT257" s="89"/>
      <c r="AU257" s="89"/>
      <c r="AV257" s="89"/>
      <c r="AW257" s="89"/>
      <c r="AX257" s="89"/>
      <c r="AY257" s="89"/>
      <c r="AZ257" s="89"/>
      <c r="BA257" s="89"/>
      <c r="BB257" s="89"/>
      <c r="BC257" s="89">
        <v>4026</v>
      </c>
      <c r="BD257" s="105" t="s">
        <v>365</v>
      </c>
    </row>
    <row r="258" spans="2:56" x14ac:dyDescent="0.3"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104"/>
      <c r="AS258" s="89"/>
      <c r="AT258" s="89"/>
      <c r="AU258" s="89"/>
      <c r="AV258" s="89"/>
      <c r="AW258" s="89"/>
      <c r="AX258" s="89"/>
      <c r="AY258" s="89"/>
      <c r="AZ258" s="89"/>
      <c r="BA258" s="89"/>
      <c r="BB258" s="89"/>
      <c r="BC258" s="89">
        <v>4040</v>
      </c>
      <c r="BD258" s="105" t="s">
        <v>201</v>
      </c>
    </row>
    <row r="259" spans="2:56" x14ac:dyDescent="0.3"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104"/>
      <c r="AS259" s="89"/>
      <c r="AT259" s="89"/>
      <c r="AU259" s="89"/>
      <c r="AV259" s="89"/>
      <c r="AW259" s="89"/>
      <c r="AX259" s="89"/>
      <c r="AY259" s="89"/>
      <c r="AZ259" s="89"/>
      <c r="BA259" s="89"/>
      <c r="BB259" s="89"/>
      <c r="BC259" s="89">
        <v>4043</v>
      </c>
      <c r="BD259" s="105" t="s">
        <v>202</v>
      </c>
    </row>
    <row r="260" spans="2:56" x14ac:dyDescent="0.3"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104"/>
      <c r="AS260" s="89"/>
      <c r="AT260" s="89"/>
      <c r="AU260" s="89"/>
      <c r="AV260" s="89"/>
      <c r="AW260" s="89"/>
      <c r="AX260" s="89"/>
      <c r="AY260" s="89"/>
      <c r="AZ260" s="89"/>
      <c r="BA260" s="89"/>
      <c r="BB260" s="89"/>
      <c r="BC260" s="89">
        <v>4045</v>
      </c>
      <c r="BD260" s="105" t="s">
        <v>203</v>
      </c>
    </row>
    <row r="261" spans="2:56" x14ac:dyDescent="0.3"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104"/>
      <c r="AS261" s="89"/>
      <c r="AT261" s="89"/>
      <c r="AU261" s="89"/>
      <c r="AV261" s="89"/>
      <c r="AW261" s="89"/>
      <c r="AX261" s="89"/>
      <c r="AY261" s="89"/>
      <c r="AZ261" s="89"/>
      <c r="BA261" s="89"/>
      <c r="BB261" s="89"/>
      <c r="BC261" s="89">
        <v>4065</v>
      </c>
      <c r="BD261" s="105" t="s">
        <v>366</v>
      </c>
    </row>
    <row r="262" spans="2:56" x14ac:dyDescent="0.3"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104"/>
      <c r="AS262" s="89"/>
      <c r="AT262" s="89"/>
      <c r="AU262" s="89"/>
      <c r="AV262" s="89"/>
      <c r="AW262" s="89"/>
      <c r="AX262" s="89"/>
      <c r="AY262" s="89"/>
      <c r="AZ262" s="89"/>
      <c r="BA262" s="89"/>
      <c r="BB262" s="89"/>
      <c r="BC262" s="89">
        <v>4109</v>
      </c>
      <c r="BD262" s="105" t="s">
        <v>204</v>
      </c>
    </row>
    <row r="263" spans="2:56" x14ac:dyDescent="0.3"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104"/>
      <c r="AS263" s="89"/>
      <c r="AT263" s="89"/>
      <c r="AU263" s="89"/>
      <c r="AV263" s="89"/>
      <c r="AW263" s="89"/>
      <c r="AX263" s="89"/>
      <c r="AY263" s="89"/>
      <c r="AZ263" s="89"/>
      <c r="BA263" s="89"/>
      <c r="BB263" s="89"/>
      <c r="BC263" s="89">
        <v>4522</v>
      </c>
      <c r="BD263" s="105" t="s">
        <v>205</v>
      </c>
    </row>
    <row r="264" spans="2:56" x14ac:dyDescent="0.3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104"/>
      <c r="AS264" s="89"/>
      <c r="AT264" s="89"/>
      <c r="AU264" s="89"/>
      <c r="AV264" s="89"/>
      <c r="AW264" s="89"/>
      <c r="AX264" s="89"/>
      <c r="AY264" s="89"/>
      <c r="AZ264" s="89"/>
      <c r="BA264" s="89"/>
      <c r="BB264" s="89"/>
      <c r="BC264" s="89">
        <v>4523</v>
      </c>
      <c r="BD264" s="105" t="s">
        <v>206</v>
      </c>
    </row>
    <row r="265" spans="2:56" x14ac:dyDescent="0.3"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104"/>
      <c r="AS265" s="89"/>
      <c r="AT265" s="89"/>
      <c r="AU265" s="89"/>
      <c r="AV265" s="89"/>
      <c r="AW265" s="89"/>
      <c r="AX265" s="89"/>
      <c r="AY265" s="89"/>
      <c r="AZ265" s="89"/>
      <c r="BA265" s="89"/>
      <c r="BB265" s="89"/>
      <c r="BC265" s="89">
        <v>4534</v>
      </c>
      <c r="BD265" s="105" t="s">
        <v>207</v>
      </c>
    </row>
    <row r="266" spans="2:56" x14ac:dyDescent="0.3"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104"/>
      <c r="AS266" s="89"/>
      <c r="AT266" s="89"/>
      <c r="AU266" s="89"/>
      <c r="AV266" s="89"/>
      <c r="AW266" s="89"/>
      <c r="AX266" s="89"/>
      <c r="AY266" s="89"/>
      <c r="AZ266" s="89"/>
      <c r="BA266" s="89"/>
      <c r="BB266" s="89"/>
      <c r="BC266" s="89">
        <v>4622</v>
      </c>
      <c r="BD266" s="105" t="s">
        <v>208</v>
      </c>
    </row>
    <row r="267" spans="2:56" x14ac:dyDescent="0.3"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104"/>
      <c r="AS267" s="89"/>
      <c r="AT267" s="89"/>
      <c r="AU267" s="89"/>
      <c r="AV267" s="89"/>
      <c r="AW267" s="89"/>
      <c r="AX267" s="89"/>
      <c r="AY267" s="89"/>
      <c r="AZ267" s="89"/>
      <c r="BA267" s="89"/>
      <c r="BB267" s="89"/>
      <c r="BC267" s="89">
        <v>5200</v>
      </c>
      <c r="BD267" s="105" t="s">
        <v>367</v>
      </c>
    </row>
    <row r="268" spans="2:56" x14ac:dyDescent="0.3"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104"/>
      <c r="AS268" s="89"/>
      <c r="AT268" s="89"/>
      <c r="AU268" s="89"/>
      <c r="AV268" s="89"/>
      <c r="AW268" s="89"/>
      <c r="AX268" s="89"/>
      <c r="AY268" s="89"/>
      <c r="AZ268" s="89"/>
      <c r="BA268" s="89"/>
      <c r="BB268" s="89"/>
      <c r="BC268" s="89">
        <v>5201</v>
      </c>
      <c r="BD268" s="105" t="s">
        <v>209</v>
      </c>
    </row>
    <row r="269" spans="2:56" x14ac:dyDescent="0.3"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104"/>
      <c r="AS269" s="89"/>
      <c r="AT269" s="89"/>
      <c r="AU269" s="89"/>
      <c r="AV269" s="89"/>
      <c r="AW269" s="89"/>
      <c r="AX269" s="89"/>
      <c r="AY269" s="89"/>
      <c r="AZ269" s="89"/>
      <c r="BA269" s="89"/>
      <c r="BB269" s="89"/>
      <c r="BC269" s="89">
        <v>5203</v>
      </c>
      <c r="BD269" s="105" t="s">
        <v>210</v>
      </c>
    </row>
    <row r="270" spans="2:56" x14ac:dyDescent="0.3"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104"/>
      <c r="AS270" s="89"/>
      <c r="AT270" s="89"/>
      <c r="AU270" s="89"/>
      <c r="AV270" s="89"/>
      <c r="AW270" s="89"/>
      <c r="AX270" s="89"/>
      <c r="AY270" s="89"/>
      <c r="AZ270" s="89"/>
      <c r="BA270" s="89"/>
      <c r="BB270" s="89"/>
      <c r="BC270" s="89">
        <v>5206</v>
      </c>
      <c r="BD270" s="105" t="s">
        <v>211</v>
      </c>
    </row>
    <row r="271" spans="2:56" x14ac:dyDescent="0.3"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104"/>
      <c r="AS271" s="89"/>
      <c r="AT271" s="89"/>
      <c r="AU271" s="89"/>
      <c r="AV271" s="89"/>
      <c r="AW271" s="89"/>
      <c r="AX271" s="89"/>
      <c r="AY271" s="89"/>
      <c r="AZ271" s="89"/>
      <c r="BA271" s="89"/>
      <c r="BB271" s="89"/>
      <c r="BC271" s="89">
        <v>5207</v>
      </c>
      <c r="BD271" s="105" t="s">
        <v>212</v>
      </c>
    </row>
    <row r="272" spans="2:56" x14ac:dyDescent="0.3"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104"/>
      <c r="AS272" s="89"/>
      <c r="AT272" s="89"/>
      <c r="AU272" s="89"/>
      <c r="AV272" s="89"/>
      <c r="AW272" s="89"/>
      <c r="AX272" s="89"/>
      <c r="AY272" s="89"/>
      <c r="AZ272" s="89"/>
      <c r="BA272" s="89"/>
      <c r="BB272" s="89"/>
      <c r="BC272" s="89">
        <v>5208</v>
      </c>
      <c r="BD272" s="105" t="s">
        <v>368</v>
      </c>
    </row>
    <row r="273" spans="2:56" x14ac:dyDescent="0.3"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104"/>
      <c r="AS273" s="89"/>
      <c r="AT273" s="89"/>
      <c r="AU273" s="89"/>
      <c r="AV273" s="89"/>
      <c r="AW273" s="89"/>
      <c r="AX273" s="89"/>
      <c r="AY273" s="89"/>
      <c r="AZ273" s="89"/>
      <c r="BA273" s="89"/>
      <c r="BB273" s="89"/>
      <c r="BC273" s="89">
        <v>5212</v>
      </c>
      <c r="BD273" s="105" t="s">
        <v>213</v>
      </c>
    </row>
    <row r="274" spans="2:56" x14ac:dyDescent="0.3"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104"/>
      <c r="AS274" s="89"/>
      <c r="AT274" s="89"/>
      <c r="AU274" s="89"/>
      <c r="AV274" s="89"/>
      <c r="AW274" s="89"/>
      <c r="AX274" s="89"/>
      <c r="AY274" s="89"/>
      <c r="AZ274" s="89"/>
      <c r="BA274" s="89"/>
      <c r="BB274" s="89"/>
      <c r="BC274" s="89">
        <v>5213</v>
      </c>
      <c r="BD274" s="105" t="s">
        <v>369</v>
      </c>
    </row>
    <row r="275" spans="2:56" x14ac:dyDescent="0.3"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104"/>
      <c r="AS275" s="89"/>
      <c r="AT275" s="89"/>
      <c r="AU275" s="89"/>
      <c r="AV275" s="89"/>
      <c r="AW275" s="89"/>
      <c r="AX275" s="89"/>
      <c r="AY275" s="89"/>
      <c r="AZ275" s="89"/>
      <c r="BA275" s="89"/>
      <c r="BB275" s="89"/>
      <c r="BC275" s="89">
        <v>5214</v>
      </c>
      <c r="BD275" s="105" t="s">
        <v>370</v>
      </c>
    </row>
    <row r="276" spans="2:56" x14ac:dyDescent="0.3"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104"/>
      <c r="AS276" s="89"/>
      <c r="AT276" s="89"/>
      <c r="AU276" s="89"/>
      <c r="AV276" s="89"/>
      <c r="AW276" s="89"/>
      <c r="AX276" s="89"/>
      <c r="AY276" s="89"/>
      <c r="AZ276" s="89"/>
      <c r="BA276" s="89"/>
      <c r="BB276" s="89"/>
      <c r="BC276" s="89">
        <v>5218</v>
      </c>
      <c r="BD276" s="105" t="s">
        <v>214</v>
      </c>
    </row>
    <row r="277" spans="2:56" x14ac:dyDescent="0.3"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104"/>
      <c r="AS277" s="89"/>
      <c r="AT277" s="89"/>
      <c r="AU277" s="89"/>
      <c r="AV277" s="89"/>
      <c r="AW277" s="89"/>
      <c r="AX277" s="89"/>
      <c r="AY277" s="89"/>
      <c r="AZ277" s="89"/>
      <c r="BA277" s="89"/>
      <c r="BB277" s="89"/>
      <c r="BC277" s="89">
        <v>5221</v>
      </c>
      <c r="BD277" s="105" t="s">
        <v>215</v>
      </c>
    </row>
    <row r="278" spans="2:56" x14ac:dyDescent="0.3"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104"/>
      <c r="AS278" s="89"/>
      <c r="AT278" s="89"/>
      <c r="AU278" s="89"/>
      <c r="AV278" s="89"/>
      <c r="AW278" s="89"/>
      <c r="AX278" s="89"/>
      <c r="AY278" s="89"/>
      <c r="AZ278" s="89"/>
      <c r="BA278" s="89"/>
      <c r="BB278" s="89"/>
      <c r="BC278" s="89">
        <v>5223</v>
      </c>
      <c r="BD278" s="105" t="s">
        <v>216</v>
      </c>
    </row>
    <row r="279" spans="2:56" x14ac:dyDescent="0.3"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104"/>
      <c r="AS279" s="89"/>
      <c r="AT279" s="89"/>
      <c r="AU279" s="89"/>
      <c r="AV279" s="89"/>
      <c r="AW279" s="89"/>
      <c r="AX279" s="89"/>
      <c r="AY279" s="89"/>
      <c r="AZ279" s="89"/>
      <c r="BA279" s="89"/>
      <c r="BB279" s="89"/>
      <c r="BC279" s="89">
        <v>5225</v>
      </c>
      <c r="BD279" s="105" t="s">
        <v>217</v>
      </c>
    </row>
    <row r="280" spans="2:56" x14ac:dyDescent="0.3"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104"/>
      <c r="AS280" s="89"/>
      <c r="AT280" s="89"/>
      <c r="AU280" s="89"/>
      <c r="AV280" s="89"/>
      <c r="AW280" s="89"/>
      <c r="AX280" s="89"/>
      <c r="AY280" s="89"/>
      <c r="AZ280" s="89"/>
      <c r="BA280" s="89"/>
      <c r="BB280" s="89"/>
      <c r="BC280" s="89">
        <v>5226</v>
      </c>
      <c r="BD280" s="105" t="s">
        <v>218</v>
      </c>
    </row>
    <row r="281" spans="2:56" x14ac:dyDescent="0.3"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104"/>
      <c r="AS281" s="89"/>
      <c r="AT281" s="89"/>
      <c r="AU281" s="89"/>
      <c r="AV281" s="89"/>
      <c r="AW281" s="89"/>
      <c r="AX281" s="89"/>
      <c r="AY281" s="89"/>
      <c r="AZ281" s="89"/>
      <c r="BA281" s="89"/>
      <c r="BB281" s="89"/>
      <c r="BC281" s="89">
        <v>5407</v>
      </c>
      <c r="BD281" s="105" t="s">
        <v>219</v>
      </c>
    </row>
    <row r="282" spans="2:56" x14ac:dyDescent="0.3"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104"/>
      <c r="AS282" s="89"/>
      <c r="AT282" s="89"/>
      <c r="AU282" s="89"/>
      <c r="AV282" s="89"/>
      <c r="AW282" s="89"/>
      <c r="AX282" s="89"/>
      <c r="AY282" s="89"/>
      <c r="AZ282" s="89"/>
      <c r="BA282" s="89"/>
      <c r="BB282" s="89"/>
      <c r="BC282" s="89">
        <v>5410</v>
      </c>
      <c r="BD282" s="105" t="s">
        <v>220</v>
      </c>
    </row>
    <row r="283" spans="2:56" x14ac:dyDescent="0.3"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104"/>
      <c r="AS283" s="89"/>
      <c r="AT283" s="89"/>
      <c r="AU283" s="89"/>
      <c r="AV283" s="89"/>
      <c r="AW283" s="89"/>
      <c r="AX283" s="89"/>
      <c r="AY283" s="89"/>
      <c r="AZ283" s="89"/>
      <c r="BA283" s="89"/>
      <c r="BB283" s="89"/>
      <c r="BC283" s="89">
        <v>5412</v>
      </c>
      <c r="BD283" s="105" t="s">
        <v>371</v>
      </c>
    </row>
    <row r="284" spans="2:56" x14ac:dyDescent="0.3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104"/>
      <c r="AS284" s="89"/>
      <c r="AT284" s="89"/>
      <c r="AU284" s="89"/>
      <c r="AV284" s="89"/>
      <c r="AW284" s="89"/>
      <c r="AX284" s="89"/>
      <c r="AY284" s="89"/>
      <c r="AZ284" s="89"/>
      <c r="BA284" s="89"/>
      <c r="BB284" s="89"/>
      <c r="BC284" s="89">
        <v>5425</v>
      </c>
      <c r="BD284" s="105" t="s">
        <v>221</v>
      </c>
    </row>
    <row r="285" spans="2:56" x14ac:dyDescent="0.3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104"/>
      <c r="AS285" s="89"/>
      <c r="AT285" s="89"/>
      <c r="AU285" s="89"/>
      <c r="AV285" s="89"/>
      <c r="AW285" s="89"/>
      <c r="AX285" s="89"/>
      <c r="AY285" s="89"/>
      <c r="AZ285" s="89"/>
      <c r="BA285" s="89"/>
      <c r="BB285" s="89"/>
      <c r="BC285" s="89">
        <v>5426</v>
      </c>
      <c r="BD285" s="105" t="s">
        <v>222</v>
      </c>
    </row>
    <row r="286" spans="2:56" x14ac:dyDescent="0.3"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104"/>
      <c r="AS286" s="89"/>
      <c r="AT286" s="89"/>
      <c r="AU286" s="89"/>
      <c r="AV286" s="89"/>
      <c r="AW286" s="89"/>
      <c r="AX286" s="89"/>
      <c r="AY286" s="89"/>
      <c r="AZ286" s="89"/>
      <c r="BA286" s="89"/>
      <c r="BB286" s="89"/>
      <c r="BC286" s="89">
        <v>5431</v>
      </c>
      <c r="BD286" s="105" t="s">
        <v>223</v>
      </c>
    </row>
    <row r="287" spans="2:56" x14ac:dyDescent="0.3"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104"/>
      <c r="AS287" s="89"/>
      <c r="AT287" s="89"/>
      <c r="AU287" s="89"/>
      <c r="AV287" s="89"/>
      <c r="AW287" s="89"/>
      <c r="AX287" s="89"/>
      <c r="AY287" s="89"/>
      <c r="AZ287" s="89"/>
      <c r="BA287" s="89"/>
      <c r="BB287" s="89"/>
      <c r="BC287" s="89">
        <v>5447</v>
      </c>
      <c r="BD287" s="84" t="s">
        <v>372</v>
      </c>
    </row>
    <row r="288" spans="2:56" x14ac:dyDescent="0.3"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104"/>
      <c r="AS288" s="89"/>
      <c r="AT288" s="89"/>
      <c r="AU288" s="89"/>
      <c r="AV288" s="89"/>
      <c r="AW288" s="89"/>
      <c r="AX288" s="89"/>
      <c r="AY288" s="89"/>
      <c r="AZ288" s="89"/>
      <c r="BA288" s="89"/>
      <c r="BB288" s="89"/>
      <c r="BC288" s="89">
        <v>5456</v>
      </c>
      <c r="BD288" s="105" t="s">
        <v>224</v>
      </c>
    </row>
    <row r="289" spans="2:56" x14ac:dyDescent="0.3"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104"/>
      <c r="AS289" s="89"/>
      <c r="AT289" s="89"/>
      <c r="AU289" s="89"/>
      <c r="AV289" s="89"/>
      <c r="AW289" s="89"/>
      <c r="AX289" s="89"/>
      <c r="AY289" s="89"/>
      <c r="AZ289" s="89"/>
      <c r="BA289" s="89"/>
      <c r="BB289" s="89"/>
      <c r="BC289" s="89">
        <v>5459</v>
      </c>
      <c r="BD289" s="105" t="s">
        <v>225</v>
      </c>
    </row>
    <row r="290" spans="2:56" x14ac:dyDescent="0.3"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104"/>
      <c r="AS290" s="89"/>
      <c r="AT290" s="89"/>
      <c r="AU290" s="89"/>
      <c r="AV290" s="89"/>
      <c r="AW290" s="89"/>
      <c r="AX290" s="89"/>
      <c r="AY290" s="89"/>
      <c r="AZ290" s="89"/>
      <c r="BA290" s="89"/>
      <c r="BB290" s="89"/>
      <c r="BC290" s="89">
        <v>5461</v>
      </c>
      <c r="BD290" s="105" t="s">
        <v>373</v>
      </c>
    </row>
    <row r="291" spans="2:56" x14ac:dyDescent="0.3"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104"/>
      <c r="AS291" s="89"/>
      <c r="AT291" s="89"/>
      <c r="AU291" s="89"/>
      <c r="AV291" s="89"/>
      <c r="AW291" s="89"/>
      <c r="AX291" s="89"/>
      <c r="AY291" s="89"/>
      <c r="AZ291" s="89"/>
      <c r="BA291" s="89"/>
      <c r="BB291" s="89"/>
      <c r="BC291" s="89">
        <v>5468</v>
      </c>
      <c r="BD291" s="105" t="s">
        <v>226</v>
      </c>
    </row>
    <row r="292" spans="2:56" x14ac:dyDescent="0.3"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104"/>
      <c r="AS292" s="89"/>
      <c r="AT292" s="89"/>
      <c r="AU292" s="89"/>
      <c r="AV292" s="89"/>
      <c r="AW292" s="89"/>
      <c r="AX292" s="89"/>
      <c r="AY292" s="89"/>
      <c r="AZ292" s="89"/>
      <c r="BA292" s="89"/>
      <c r="BB292" s="89"/>
      <c r="BC292" s="89">
        <v>7002</v>
      </c>
      <c r="BD292" s="105" t="s">
        <v>227</v>
      </c>
    </row>
    <row r="293" spans="2:56" x14ac:dyDescent="0.3"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104"/>
      <c r="AS293" s="89"/>
      <c r="AT293" s="89"/>
      <c r="AU293" s="89"/>
      <c r="AV293" s="89"/>
      <c r="AW293" s="89"/>
      <c r="AX293" s="89"/>
      <c r="AY293" s="89"/>
      <c r="AZ293" s="89"/>
      <c r="BA293" s="89"/>
      <c r="BB293" s="89"/>
      <c r="BC293" s="89">
        <v>7021</v>
      </c>
      <c r="BD293" s="105" t="s">
        <v>228</v>
      </c>
    </row>
    <row r="294" spans="2:56" x14ac:dyDescent="0.3"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104"/>
      <c r="AS294" s="89"/>
      <c r="AT294" s="89"/>
      <c r="AU294" s="89"/>
      <c r="AV294" s="89"/>
      <c r="AW294" s="89"/>
      <c r="AX294" s="89"/>
      <c r="AY294" s="89"/>
      <c r="AZ294" s="89"/>
      <c r="BA294" s="89"/>
      <c r="BB294" s="89"/>
      <c r="BC294" s="89">
        <v>7032</v>
      </c>
      <c r="BD294" s="105" t="s">
        <v>229</v>
      </c>
    </row>
    <row r="295" spans="2:56" x14ac:dyDescent="0.3"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104"/>
      <c r="AS295" s="89"/>
      <c r="AT295" s="89"/>
      <c r="AU295" s="89"/>
      <c r="AV295" s="89"/>
      <c r="AW295" s="89"/>
      <c r="AX295" s="89"/>
      <c r="AY295" s="89"/>
      <c r="AZ295" s="89"/>
      <c r="BA295" s="89"/>
      <c r="BB295" s="89"/>
      <c r="BC295" s="89">
        <v>7033</v>
      </c>
      <c r="BD295" s="105" t="s">
        <v>230</v>
      </c>
    </row>
    <row r="296" spans="2:56" x14ac:dyDescent="0.3"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104"/>
      <c r="AS296" s="89"/>
      <c r="AT296" s="89"/>
      <c r="AU296" s="89"/>
      <c r="AV296" s="89"/>
      <c r="AW296" s="89"/>
      <c r="AX296" s="89"/>
      <c r="AY296" s="89"/>
      <c r="AZ296" s="89"/>
      <c r="BA296" s="89"/>
      <c r="BB296" s="89"/>
      <c r="BC296" s="89">
        <v>7039</v>
      </c>
      <c r="BD296" s="105" t="s">
        <v>231</v>
      </c>
    </row>
    <row r="297" spans="2:56" x14ac:dyDescent="0.3"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104"/>
      <c r="AS297" s="89"/>
      <c r="AT297" s="89"/>
      <c r="AU297" s="89"/>
      <c r="AV297" s="89"/>
      <c r="AW297" s="89"/>
      <c r="AX297" s="89"/>
      <c r="AY297" s="89"/>
      <c r="AZ297" s="89"/>
      <c r="BA297" s="89"/>
      <c r="BB297" s="89"/>
      <c r="BC297" s="89">
        <v>7040</v>
      </c>
      <c r="BD297" s="105" t="s">
        <v>232</v>
      </c>
    </row>
    <row r="298" spans="2:56" x14ac:dyDescent="0.3"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104"/>
      <c r="AS298" s="89"/>
      <c r="AT298" s="89"/>
      <c r="AU298" s="89"/>
      <c r="AV298" s="89"/>
      <c r="AW298" s="89"/>
      <c r="AX298" s="89"/>
      <c r="AY298" s="89"/>
      <c r="AZ298" s="89"/>
      <c r="BA298" s="89"/>
      <c r="BB298" s="89"/>
      <c r="BC298" s="89">
        <v>7041</v>
      </c>
      <c r="BD298" s="105" t="s">
        <v>233</v>
      </c>
    </row>
    <row r="299" spans="2:56" x14ac:dyDescent="0.3"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104"/>
      <c r="AS299" s="89"/>
      <c r="AT299" s="89"/>
      <c r="AU299" s="89"/>
      <c r="AV299" s="89"/>
      <c r="AW299" s="89"/>
      <c r="AX299" s="89"/>
      <c r="AY299" s="89"/>
      <c r="AZ299" s="89"/>
      <c r="BA299" s="89"/>
      <c r="BB299" s="89"/>
      <c r="BC299" s="89">
        <v>7043</v>
      </c>
      <c r="BD299" s="105" t="s">
        <v>374</v>
      </c>
    </row>
    <row r="300" spans="2:56" x14ac:dyDescent="0.3"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104"/>
      <c r="AS300" s="89"/>
      <c r="AT300" s="89"/>
      <c r="AU300" s="89"/>
      <c r="AV300" s="89"/>
      <c r="AW300" s="89"/>
      <c r="AX300" s="89"/>
      <c r="AY300" s="89"/>
      <c r="AZ300" s="89"/>
      <c r="BA300" s="89"/>
      <c r="BB300" s="89"/>
      <c r="BC300" s="89">
        <v>7044</v>
      </c>
      <c r="BD300" s="105" t="s">
        <v>234</v>
      </c>
    </row>
    <row r="301" spans="2:56" x14ac:dyDescent="0.3"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104"/>
      <c r="AS301" s="89"/>
      <c r="AT301" s="89"/>
      <c r="AU301" s="89"/>
      <c r="AV301" s="89"/>
      <c r="AW301" s="89"/>
      <c r="AX301" s="89"/>
      <c r="AY301" s="89"/>
      <c r="AZ301" s="89"/>
      <c r="BA301" s="89"/>
      <c r="BB301" s="89"/>
      <c r="BC301" s="89">
        <v>7045</v>
      </c>
      <c r="BD301" s="105" t="s">
        <v>235</v>
      </c>
    </row>
    <row r="302" spans="2:56" x14ac:dyDescent="0.3"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104"/>
      <c r="AS302" s="89"/>
      <c r="AT302" s="89"/>
      <c r="AU302" s="89"/>
      <c r="AV302" s="89"/>
      <c r="AW302" s="89"/>
      <c r="AX302" s="89"/>
      <c r="AY302" s="89"/>
      <c r="AZ302" s="89"/>
      <c r="BA302" s="89"/>
      <c r="BB302" s="89"/>
      <c r="BC302" s="89">
        <v>7051</v>
      </c>
      <c r="BD302" s="105" t="s">
        <v>236</v>
      </c>
    </row>
    <row r="303" spans="2:56" x14ac:dyDescent="0.3"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104"/>
      <c r="AS303" s="89"/>
      <c r="AT303" s="89"/>
      <c r="AU303" s="89"/>
      <c r="AV303" s="89"/>
      <c r="AW303" s="89"/>
      <c r="AX303" s="89"/>
      <c r="AY303" s="89"/>
      <c r="AZ303" s="89"/>
      <c r="BA303" s="89"/>
      <c r="BB303" s="89"/>
      <c r="BC303" s="89">
        <v>7052</v>
      </c>
      <c r="BD303" s="105" t="s">
        <v>237</v>
      </c>
    </row>
    <row r="304" spans="2:56" x14ac:dyDescent="0.3"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104"/>
      <c r="AS304" s="89"/>
      <c r="AT304" s="89"/>
      <c r="AU304" s="89"/>
      <c r="AV304" s="89"/>
      <c r="AW304" s="89"/>
      <c r="AX304" s="89"/>
      <c r="AY304" s="89"/>
      <c r="AZ304" s="89"/>
      <c r="BA304" s="89"/>
      <c r="BB304" s="89"/>
      <c r="BC304" s="89">
        <v>7056</v>
      </c>
      <c r="BD304" s="105" t="s">
        <v>238</v>
      </c>
    </row>
    <row r="305" spans="2:56" x14ac:dyDescent="0.3"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104"/>
      <c r="AS305" s="89"/>
      <c r="AT305" s="89"/>
      <c r="AU305" s="89"/>
      <c r="AV305" s="89"/>
      <c r="AW305" s="89"/>
      <c r="AX305" s="89"/>
      <c r="AY305" s="89"/>
      <c r="AZ305" s="89"/>
      <c r="BA305" s="89"/>
      <c r="BB305" s="89"/>
      <c r="BC305" s="89">
        <v>7058</v>
      </c>
      <c r="BD305" s="105" t="s">
        <v>239</v>
      </c>
    </row>
    <row r="306" spans="2:56" x14ac:dyDescent="0.3"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104"/>
      <c r="AS306" s="89"/>
      <c r="AT306" s="89"/>
      <c r="AU306" s="89"/>
      <c r="AV306" s="89"/>
      <c r="AW306" s="89"/>
      <c r="AX306" s="89"/>
      <c r="AY306" s="89"/>
      <c r="AZ306" s="89"/>
      <c r="BA306" s="89"/>
      <c r="BB306" s="89"/>
      <c r="BC306" s="89">
        <v>7062</v>
      </c>
      <c r="BD306" s="105" t="s">
        <v>240</v>
      </c>
    </row>
    <row r="307" spans="2:56" x14ac:dyDescent="0.3"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104"/>
      <c r="AS307" s="89"/>
      <c r="AT307" s="89"/>
      <c r="AU307" s="89"/>
      <c r="AV307" s="89"/>
      <c r="AW307" s="89"/>
      <c r="AX307" s="89"/>
      <c r="AY307" s="89"/>
      <c r="AZ307" s="89"/>
      <c r="BA307" s="89"/>
      <c r="BB307" s="89"/>
      <c r="BC307" s="89">
        <v>7063</v>
      </c>
      <c r="BD307" s="105" t="s">
        <v>241</v>
      </c>
    </row>
    <row r="308" spans="2:56" x14ac:dyDescent="0.3"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104"/>
      <c r="AS308" s="89"/>
      <c r="AT308" s="89"/>
      <c r="AU308" s="89"/>
      <c r="AV308" s="89"/>
      <c r="AW308" s="89"/>
      <c r="AX308" s="89"/>
      <c r="AY308" s="89"/>
      <c r="AZ308" s="89"/>
      <c r="BA308" s="89"/>
      <c r="BB308" s="89"/>
      <c r="BC308" s="89">
        <v>7067</v>
      </c>
      <c r="BD308" s="105" t="s">
        <v>242</v>
      </c>
    </row>
    <row r="309" spans="2:56" x14ac:dyDescent="0.3"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104"/>
      <c r="AS309" s="89"/>
      <c r="AT309" s="89"/>
      <c r="AU309" s="89"/>
      <c r="AV309" s="89"/>
      <c r="AW309" s="89"/>
      <c r="AX309" s="89"/>
      <c r="AY309" s="89"/>
      <c r="AZ309" s="89"/>
      <c r="BA309" s="89"/>
      <c r="BB309" s="89"/>
      <c r="BC309" s="89">
        <v>7069</v>
      </c>
      <c r="BD309" s="105" t="s">
        <v>243</v>
      </c>
    </row>
    <row r="310" spans="2:56" x14ac:dyDescent="0.3"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104"/>
      <c r="AS310" s="89"/>
      <c r="AT310" s="89"/>
      <c r="AU310" s="89"/>
      <c r="AV310" s="89"/>
      <c r="AW310" s="89"/>
      <c r="AX310" s="89"/>
      <c r="AY310" s="89"/>
      <c r="AZ310" s="89"/>
      <c r="BA310" s="89"/>
      <c r="BB310" s="89"/>
      <c r="BC310" s="89">
        <v>7070</v>
      </c>
      <c r="BD310" s="105" t="s">
        <v>244</v>
      </c>
    </row>
    <row r="311" spans="2:56" x14ac:dyDescent="0.3"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104"/>
      <c r="AS311" s="89"/>
      <c r="AT311" s="89"/>
      <c r="AU311" s="89"/>
      <c r="AV311" s="89"/>
      <c r="AW311" s="89"/>
      <c r="AX311" s="89"/>
      <c r="AY311" s="89"/>
      <c r="AZ311" s="89"/>
      <c r="BA311" s="89"/>
      <c r="BB311" s="89"/>
      <c r="BC311" s="89">
        <v>7072</v>
      </c>
      <c r="BD311" s="105" t="s">
        <v>245</v>
      </c>
    </row>
    <row r="312" spans="2:56" x14ac:dyDescent="0.3"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104"/>
      <c r="AS312" s="89"/>
      <c r="AT312" s="89"/>
      <c r="AU312" s="89"/>
      <c r="AV312" s="89"/>
      <c r="AW312" s="89"/>
      <c r="AX312" s="89"/>
      <c r="AY312" s="89"/>
      <c r="AZ312" s="89"/>
      <c r="BA312" s="89"/>
      <c r="BB312" s="89"/>
      <c r="BC312" s="89">
        <v>7073</v>
      </c>
      <c r="BD312" s="105" t="s">
        <v>246</v>
      </c>
    </row>
    <row r="313" spans="2:56" x14ac:dyDescent="0.3"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104"/>
      <c r="AS313" s="89"/>
      <c r="AT313" s="89"/>
      <c r="AU313" s="89"/>
      <c r="AV313" s="89"/>
      <c r="AW313" s="89"/>
      <c r="AX313" s="89"/>
      <c r="AY313" s="89"/>
      <c r="AZ313" s="89"/>
      <c r="BA313" s="89"/>
      <c r="BB313" s="89"/>
      <c r="BC313" s="89"/>
      <c r="BD313" s="105"/>
    </row>
    <row r="314" spans="2:56" x14ac:dyDescent="0.3"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104"/>
      <c r="AS314" s="89"/>
      <c r="AT314" s="89"/>
      <c r="AU314" s="89"/>
      <c r="AV314" s="89"/>
      <c r="AW314" s="89"/>
      <c r="AX314" s="89"/>
      <c r="AY314" s="89"/>
      <c r="AZ314" s="89"/>
      <c r="BA314" s="89"/>
      <c r="BB314" s="89"/>
      <c r="BC314" s="89"/>
      <c r="BD314" s="105"/>
    </row>
    <row r="315" spans="2:56" x14ac:dyDescent="0.3"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104"/>
      <c r="AS315" s="89"/>
      <c r="AT315" s="89"/>
      <c r="AU315" s="89"/>
      <c r="AV315" s="89"/>
      <c r="AW315" s="89"/>
      <c r="AX315" s="89"/>
      <c r="AY315" s="89"/>
      <c r="AZ315" s="89"/>
      <c r="BA315" s="89"/>
      <c r="BB315" s="89"/>
      <c r="BC315" s="89"/>
      <c r="BD315" s="105"/>
    </row>
    <row r="316" spans="2:56" x14ac:dyDescent="0.3"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104"/>
      <c r="AS316" s="89"/>
      <c r="AT316" s="89"/>
      <c r="AU316" s="89"/>
      <c r="AV316" s="89"/>
      <c r="AW316" s="89"/>
      <c r="AX316" s="89"/>
      <c r="AY316" s="89"/>
      <c r="AZ316" s="89"/>
      <c r="BA316" s="89"/>
      <c r="BB316" s="89"/>
      <c r="BC316" s="89"/>
      <c r="BD316" s="105"/>
    </row>
    <row r="317" spans="2:56" x14ac:dyDescent="0.3"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104"/>
      <c r="AS317" s="89"/>
      <c r="AT317" s="89"/>
      <c r="AU317" s="89"/>
      <c r="AV317" s="89"/>
      <c r="AW317" s="89"/>
      <c r="AX317" s="89"/>
      <c r="AY317" s="89"/>
      <c r="AZ317" s="89"/>
      <c r="BA317" s="89"/>
      <c r="BB317" s="89"/>
      <c r="BC317" s="89"/>
      <c r="BD317" s="105"/>
    </row>
    <row r="318" spans="2:56" x14ac:dyDescent="0.3"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104"/>
      <c r="AS318" s="89"/>
      <c r="AT318" s="89"/>
      <c r="AU318" s="89"/>
      <c r="AV318" s="89"/>
      <c r="AW318" s="89"/>
      <c r="AX318" s="89"/>
      <c r="AY318" s="89"/>
      <c r="AZ318" s="89"/>
      <c r="BA318" s="89"/>
      <c r="BB318" s="89"/>
      <c r="BC318" s="89"/>
      <c r="BD318" s="105"/>
    </row>
    <row r="319" spans="2:56" x14ac:dyDescent="0.3"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104"/>
      <c r="AS319" s="89"/>
      <c r="AT319" s="89"/>
      <c r="AU319" s="89"/>
      <c r="AV319" s="89"/>
      <c r="AW319" s="89"/>
      <c r="AX319" s="89"/>
      <c r="AY319" s="89"/>
      <c r="AZ319" s="89"/>
      <c r="BA319" s="89"/>
      <c r="BB319" s="89"/>
      <c r="BC319" s="89"/>
      <c r="BD319" s="105"/>
    </row>
    <row r="320" spans="2:56" x14ac:dyDescent="0.3"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104"/>
      <c r="AS320" s="89"/>
      <c r="AT320" s="89"/>
      <c r="AU320" s="89"/>
      <c r="AV320" s="89"/>
      <c r="AW320" s="89"/>
      <c r="AX320" s="89"/>
      <c r="AY320" s="89"/>
      <c r="AZ320" s="89"/>
      <c r="BA320" s="89"/>
      <c r="BB320" s="89"/>
      <c r="BC320" s="89"/>
      <c r="BD320" s="105"/>
    </row>
    <row r="321" spans="2:56" x14ac:dyDescent="0.3"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104"/>
      <c r="AS321" s="89"/>
      <c r="AT321" s="89"/>
      <c r="AU321" s="89"/>
      <c r="AV321" s="89"/>
      <c r="AW321" s="89"/>
      <c r="AX321" s="89"/>
      <c r="AY321" s="89"/>
      <c r="AZ321" s="89"/>
      <c r="BA321" s="89"/>
      <c r="BB321" s="89"/>
      <c r="BC321" s="18"/>
      <c r="BD321" s="84"/>
    </row>
    <row r="322" spans="2:56" x14ac:dyDescent="0.3"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104"/>
      <c r="AS322" s="89"/>
      <c r="AT322" s="89"/>
      <c r="AU322" s="89"/>
      <c r="AV322" s="89"/>
      <c r="AW322" s="89"/>
      <c r="AX322" s="89"/>
      <c r="AY322" s="89"/>
      <c r="AZ322" s="89"/>
      <c r="BA322" s="89"/>
      <c r="BB322" s="89"/>
      <c r="BC322" s="89"/>
      <c r="BD322" s="105"/>
    </row>
    <row r="323" spans="2:56" x14ac:dyDescent="0.3"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104"/>
      <c r="AS323" s="89"/>
      <c r="AT323" s="89"/>
      <c r="AU323" s="89"/>
      <c r="AV323" s="89"/>
      <c r="AW323" s="89"/>
      <c r="AX323" s="89"/>
      <c r="AY323" s="89"/>
      <c r="AZ323" s="89"/>
      <c r="BA323" s="89"/>
      <c r="BB323" s="89"/>
      <c r="BC323" s="89"/>
      <c r="BD323" s="105"/>
    </row>
    <row r="324" spans="2:56" x14ac:dyDescent="0.3"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104"/>
      <c r="AS324" s="89"/>
      <c r="AT324" s="89"/>
      <c r="AU324" s="89"/>
      <c r="AV324" s="89"/>
      <c r="AW324" s="89"/>
      <c r="AX324" s="89"/>
      <c r="AY324" s="89"/>
      <c r="AZ324" s="89"/>
      <c r="BA324" s="89"/>
      <c r="BB324" s="89"/>
      <c r="BC324" s="89"/>
      <c r="BD324" s="105"/>
    </row>
    <row r="325" spans="2:56" x14ac:dyDescent="0.3"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104"/>
      <c r="AS325" s="89"/>
      <c r="AT325" s="89"/>
      <c r="AU325" s="89"/>
      <c r="AV325" s="89"/>
      <c r="AW325" s="89"/>
      <c r="AX325" s="89"/>
      <c r="AY325" s="89"/>
      <c r="AZ325" s="89"/>
      <c r="BA325" s="89"/>
      <c r="BB325" s="89"/>
      <c r="BC325" s="89"/>
      <c r="BD325" s="105"/>
    </row>
    <row r="326" spans="2:56" x14ac:dyDescent="0.3"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104"/>
      <c r="AS326" s="89"/>
      <c r="AT326" s="89"/>
      <c r="AU326" s="89"/>
      <c r="AV326" s="89"/>
      <c r="AW326" s="89"/>
      <c r="AX326" s="89"/>
      <c r="AY326" s="89"/>
      <c r="AZ326" s="89"/>
      <c r="BA326" s="89"/>
      <c r="BB326" s="89"/>
      <c r="BC326" s="89"/>
      <c r="BD326" s="105"/>
    </row>
    <row r="327" spans="2:56" x14ac:dyDescent="0.3"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104"/>
      <c r="AS327" s="89"/>
      <c r="AT327" s="89"/>
      <c r="AU327" s="89"/>
      <c r="AV327" s="89"/>
      <c r="AW327" s="89"/>
      <c r="AX327" s="89"/>
      <c r="AY327" s="89"/>
      <c r="AZ327" s="89"/>
      <c r="BA327" s="89"/>
      <c r="BB327" s="89"/>
      <c r="BC327" s="89"/>
      <c r="BD327" s="105"/>
    </row>
    <row r="328" spans="2:56" x14ac:dyDescent="0.3"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104"/>
      <c r="AS328" s="89"/>
      <c r="AT328" s="89"/>
      <c r="AU328" s="89"/>
      <c r="AV328" s="89"/>
      <c r="AW328" s="89"/>
      <c r="AX328" s="89"/>
      <c r="AY328" s="89"/>
      <c r="AZ328" s="89"/>
      <c r="BA328" s="89"/>
      <c r="BB328" s="89"/>
      <c r="BC328" s="89"/>
      <c r="BD328" s="105"/>
    </row>
    <row r="329" spans="2:56" x14ac:dyDescent="0.3"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104"/>
      <c r="AS329" s="89"/>
      <c r="AT329" s="89"/>
      <c r="AU329" s="89"/>
      <c r="AV329" s="89"/>
      <c r="AW329" s="89"/>
      <c r="AX329" s="89"/>
      <c r="AY329" s="89"/>
      <c r="AZ329" s="89"/>
      <c r="BA329" s="89"/>
      <c r="BB329" s="89"/>
      <c r="BC329" s="89"/>
      <c r="BD329" s="105"/>
    </row>
    <row r="330" spans="2:56" x14ac:dyDescent="0.3"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104"/>
      <c r="AS330" s="89"/>
      <c r="AT330" s="89"/>
      <c r="AU330" s="89"/>
      <c r="AV330" s="89"/>
      <c r="AW330" s="89"/>
      <c r="AX330" s="89"/>
      <c r="AY330" s="89"/>
      <c r="AZ330" s="89"/>
      <c r="BA330" s="89"/>
      <c r="BB330" s="89"/>
      <c r="BC330" s="89"/>
      <c r="BD330" s="105"/>
    </row>
    <row r="331" spans="2:56" x14ac:dyDescent="0.3"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104"/>
      <c r="AS331" s="89"/>
      <c r="AT331" s="89"/>
      <c r="AU331" s="89"/>
      <c r="AV331" s="89"/>
      <c r="AW331" s="89"/>
      <c r="AX331" s="89"/>
      <c r="AY331" s="89"/>
      <c r="AZ331" s="89"/>
      <c r="BA331" s="89"/>
      <c r="BB331" s="89"/>
      <c r="BC331" s="89"/>
      <c r="BD331" s="105"/>
    </row>
    <row r="332" spans="2:56" x14ac:dyDescent="0.3"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104"/>
      <c r="AS332" s="89"/>
      <c r="AT332" s="89"/>
      <c r="AU332" s="89"/>
      <c r="AV332" s="89"/>
      <c r="AW332" s="89"/>
      <c r="AX332" s="89"/>
      <c r="AY332" s="89"/>
      <c r="AZ332" s="89"/>
      <c r="BA332" s="89"/>
      <c r="BB332" s="89"/>
      <c r="BC332" s="89"/>
      <c r="BD332" s="105"/>
    </row>
    <row r="333" spans="2:56" x14ac:dyDescent="0.3"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104"/>
      <c r="AS333" s="89"/>
      <c r="AT333" s="89"/>
      <c r="AU333" s="89"/>
      <c r="AV333" s="89"/>
      <c r="AW333" s="89"/>
      <c r="AX333" s="89"/>
      <c r="AY333" s="89"/>
      <c r="AZ333" s="89"/>
      <c r="BA333" s="89"/>
      <c r="BB333" s="89"/>
      <c r="BC333" s="89"/>
      <c r="BD333" s="105"/>
    </row>
    <row r="334" spans="2:56" x14ac:dyDescent="0.3"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104"/>
      <c r="AS334" s="89"/>
      <c r="AT334" s="89"/>
      <c r="AU334" s="89"/>
      <c r="AV334" s="89"/>
      <c r="AW334" s="89"/>
      <c r="AX334" s="89"/>
      <c r="AY334" s="89"/>
      <c r="AZ334" s="89"/>
      <c r="BA334" s="89"/>
      <c r="BB334" s="89"/>
      <c r="BC334" s="89"/>
      <c r="BD334" s="105"/>
    </row>
    <row r="335" spans="2:56" x14ac:dyDescent="0.3"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104"/>
      <c r="AS335" s="89"/>
      <c r="AT335" s="89"/>
      <c r="AU335" s="89"/>
      <c r="AV335" s="89"/>
      <c r="AW335" s="89"/>
      <c r="AX335" s="89"/>
      <c r="AY335" s="89"/>
      <c r="AZ335" s="89"/>
      <c r="BA335" s="89"/>
      <c r="BB335" s="89"/>
      <c r="BC335" s="89"/>
      <c r="BD335" s="105"/>
    </row>
    <row r="336" spans="2:56" x14ac:dyDescent="0.3"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104"/>
      <c r="AS336" s="89"/>
      <c r="AT336" s="89"/>
      <c r="AU336" s="89"/>
      <c r="AV336" s="89"/>
      <c r="AW336" s="89"/>
      <c r="AX336" s="89"/>
      <c r="AY336" s="89"/>
      <c r="AZ336" s="89"/>
      <c r="BA336" s="89"/>
      <c r="BB336" s="89"/>
      <c r="BC336" s="89"/>
      <c r="BD336" s="105"/>
    </row>
    <row r="337" spans="2:56" x14ac:dyDescent="0.3"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104"/>
      <c r="AS337" s="89"/>
      <c r="AT337" s="89"/>
      <c r="AU337" s="89"/>
      <c r="AV337" s="89"/>
      <c r="AW337" s="89"/>
      <c r="AX337" s="89"/>
      <c r="AY337" s="89"/>
      <c r="AZ337" s="89"/>
      <c r="BA337" s="89"/>
      <c r="BB337" s="89"/>
      <c r="BC337" s="89"/>
      <c r="BD337" s="105"/>
    </row>
    <row r="338" spans="2:56" x14ac:dyDescent="0.3"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104"/>
      <c r="AS338" s="89"/>
      <c r="AT338" s="89"/>
      <c r="AU338" s="89"/>
      <c r="AV338" s="89"/>
      <c r="AW338" s="89"/>
      <c r="AX338" s="89"/>
      <c r="AY338" s="89"/>
      <c r="AZ338" s="89"/>
      <c r="BA338" s="89"/>
      <c r="BB338" s="89"/>
      <c r="BC338" s="89"/>
      <c r="BD338" s="105"/>
    </row>
    <row r="339" spans="2:56" x14ac:dyDescent="0.3"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104"/>
      <c r="AS339" s="89"/>
      <c r="AT339" s="89"/>
      <c r="AU339" s="89"/>
      <c r="AV339" s="89"/>
      <c r="AW339" s="89"/>
      <c r="AX339" s="89"/>
      <c r="AY339" s="89"/>
      <c r="AZ339" s="89"/>
      <c r="BA339" s="89"/>
      <c r="BB339" s="89"/>
      <c r="BC339" s="89"/>
      <c r="BD339" s="105"/>
    </row>
    <row r="340" spans="2:56" x14ac:dyDescent="0.3"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104"/>
      <c r="AS340" s="89"/>
      <c r="AT340" s="89"/>
      <c r="AU340" s="89"/>
      <c r="AV340" s="89"/>
      <c r="AW340" s="89"/>
      <c r="AX340" s="89"/>
      <c r="AY340" s="89"/>
      <c r="AZ340" s="89"/>
      <c r="BA340" s="89"/>
      <c r="BB340" s="89"/>
      <c r="BC340" s="89"/>
      <c r="BD340" s="105"/>
    </row>
    <row r="341" spans="2:56" x14ac:dyDescent="0.3"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104"/>
      <c r="AS341" s="89"/>
      <c r="AT341" s="89"/>
      <c r="AU341" s="89"/>
      <c r="AV341" s="89"/>
      <c r="AW341" s="89"/>
      <c r="AX341" s="89"/>
      <c r="AY341" s="89"/>
      <c r="AZ341" s="89"/>
      <c r="BA341" s="89"/>
      <c r="BB341" s="89"/>
      <c r="BC341" s="89"/>
      <c r="BD341" s="105"/>
    </row>
    <row r="342" spans="2:56" x14ac:dyDescent="0.3"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104"/>
      <c r="AS342" s="89"/>
      <c r="AT342" s="89"/>
      <c r="AU342" s="89"/>
      <c r="AV342" s="89"/>
      <c r="AW342" s="89"/>
      <c r="AX342" s="89"/>
      <c r="AY342" s="89"/>
      <c r="AZ342" s="89"/>
      <c r="BA342" s="89"/>
      <c r="BB342" s="89"/>
      <c r="BC342" s="89"/>
      <c r="BD342" s="105"/>
    </row>
    <row r="343" spans="2:56" x14ac:dyDescent="0.3"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104"/>
      <c r="AS343" s="89"/>
      <c r="AT343" s="89"/>
      <c r="AU343" s="89"/>
      <c r="AV343" s="89"/>
      <c r="AW343" s="89"/>
      <c r="AX343" s="89"/>
      <c r="AY343" s="89"/>
      <c r="AZ343" s="89"/>
      <c r="BA343" s="89"/>
      <c r="BB343" s="89"/>
      <c r="BC343" s="89"/>
      <c r="BD343" s="105"/>
    </row>
    <row r="344" spans="2:56" x14ac:dyDescent="0.3"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104"/>
      <c r="AS344" s="89"/>
      <c r="AT344" s="89"/>
      <c r="AU344" s="89"/>
      <c r="AV344" s="89"/>
      <c r="AW344" s="89"/>
      <c r="AX344" s="89"/>
      <c r="AY344" s="89"/>
      <c r="AZ344" s="89"/>
      <c r="BA344" s="89"/>
      <c r="BB344" s="89"/>
      <c r="BC344" s="89"/>
      <c r="BD344" s="105"/>
    </row>
    <row r="345" spans="2:56" x14ac:dyDescent="0.3"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104"/>
      <c r="AS345" s="89"/>
      <c r="AT345" s="89"/>
      <c r="AU345" s="89"/>
      <c r="AV345" s="89"/>
      <c r="AW345" s="89"/>
      <c r="AX345" s="89"/>
      <c r="AY345" s="89"/>
      <c r="AZ345" s="89"/>
      <c r="BA345" s="89"/>
      <c r="BB345" s="89"/>
      <c r="BC345" s="89"/>
      <c r="BD345" s="105"/>
    </row>
    <row r="346" spans="2:56" x14ac:dyDescent="0.3"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104"/>
      <c r="AS346" s="89"/>
      <c r="AT346" s="89"/>
      <c r="AU346" s="89"/>
      <c r="AV346" s="89"/>
      <c r="AW346" s="89"/>
      <c r="AX346" s="89"/>
      <c r="AY346" s="89"/>
      <c r="AZ346" s="89"/>
      <c r="BA346" s="89"/>
      <c r="BB346" s="89"/>
      <c r="BC346" s="89"/>
      <c r="BD346" s="105"/>
    </row>
    <row r="347" spans="2:56" x14ac:dyDescent="0.3"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104"/>
      <c r="AS347" s="89"/>
      <c r="AT347" s="89"/>
      <c r="AU347" s="89"/>
      <c r="AV347" s="89"/>
      <c r="AW347" s="89"/>
      <c r="AX347" s="89"/>
      <c r="AY347" s="89"/>
      <c r="AZ347" s="89"/>
      <c r="BA347" s="89"/>
      <c r="BB347" s="89"/>
      <c r="BC347" s="89"/>
      <c r="BD347" s="105"/>
    </row>
    <row r="348" spans="2:56" x14ac:dyDescent="0.3"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104"/>
      <c r="AS348" s="89"/>
      <c r="AT348" s="89"/>
      <c r="AU348" s="89"/>
      <c r="AV348" s="89"/>
      <c r="AW348" s="89"/>
      <c r="AX348" s="89"/>
      <c r="AY348" s="89"/>
      <c r="AZ348" s="89"/>
      <c r="BA348" s="89"/>
      <c r="BB348" s="89"/>
      <c r="BC348" s="89"/>
      <c r="BD348" s="105"/>
    </row>
    <row r="349" spans="2:56" x14ac:dyDescent="0.3"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104"/>
      <c r="AS349" s="89"/>
      <c r="AT349" s="89"/>
      <c r="AU349" s="89"/>
      <c r="AV349" s="89"/>
      <c r="AW349" s="89"/>
      <c r="AX349" s="89"/>
      <c r="AY349" s="89"/>
      <c r="AZ349" s="89"/>
      <c r="BA349" s="89"/>
      <c r="BB349" s="89"/>
      <c r="BC349" s="89"/>
      <c r="BD349" s="105"/>
    </row>
    <row r="350" spans="2:56" x14ac:dyDescent="0.3"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104"/>
      <c r="AS350" s="89"/>
      <c r="AT350" s="89"/>
      <c r="AU350" s="89"/>
      <c r="AV350" s="89"/>
      <c r="AW350" s="89"/>
      <c r="AX350" s="89"/>
      <c r="AY350" s="89"/>
      <c r="AZ350" s="89"/>
      <c r="BA350" s="89"/>
      <c r="BB350" s="89"/>
      <c r="BC350" s="89"/>
      <c r="BD350" s="105"/>
    </row>
    <row r="351" spans="2:56" x14ac:dyDescent="0.3">
      <c r="B351" s="89"/>
      <c r="C351" s="89"/>
      <c r="D351" s="89"/>
      <c r="E351" s="89"/>
      <c r="F351" s="89"/>
      <c r="G351" s="89"/>
    </row>
    <row r="352" spans="2:56" x14ac:dyDescent="0.3">
      <c r="B352" s="89"/>
      <c r="C352" s="89"/>
      <c r="D352" s="89"/>
      <c r="E352" s="89"/>
      <c r="F352" s="89"/>
      <c r="G352" s="89"/>
    </row>
    <row r="353" spans="2:7" x14ac:dyDescent="0.3">
      <c r="B353" s="89"/>
      <c r="C353" s="89"/>
      <c r="D353" s="89"/>
      <c r="E353" s="89"/>
      <c r="F353" s="89"/>
      <c r="G353" s="89"/>
    </row>
    <row r="354" spans="2:7" x14ac:dyDescent="0.3">
      <c r="B354" s="89"/>
      <c r="C354" s="89"/>
      <c r="D354" s="89"/>
      <c r="E354" s="89"/>
      <c r="F354" s="89"/>
      <c r="G354" s="89"/>
    </row>
    <row r="355" spans="2:7" x14ac:dyDescent="0.3">
      <c r="B355" s="89"/>
      <c r="C355" s="89"/>
      <c r="D355" s="89"/>
      <c r="E355" s="89"/>
      <c r="F355" s="89"/>
      <c r="G355" s="89"/>
    </row>
  </sheetData>
  <sheetProtection algorithmName="SHA-512" hashValue="6brouBS0BqV35OzFFYkN6YVGZawgHD6VaKdViLFTiys6jAIVTzMStWcw9EYcMX+/eIFJ+99WcHNlPXtKs148ug==" saltValue="Sl2b7o7Szay1wPPrBXqt8w==" spinCount="100000" sheet="1" objects="1" scenarios="1"/>
  <mergeCells count="7">
    <mergeCell ref="AK4:AK5"/>
    <mergeCell ref="R1:S1"/>
    <mergeCell ref="B5:E5"/>
    <mergeCell ref="AF2:AI2"/>
    <mergeCell ref="AE4:AF5"/>
    <mergeCell ref="AG4:AG5"/>
    <mergeCell ref="AH4:AJ4"/>
  </mergeCells>
  <dataValidations count="1">
    <dataValidation type="list" allowBlank="1" showInputMessage="1" showErrorMessage="1" sqref="E2" xr:uid="{ACC8640A-4BF1-4286-A6F0-E1D66787B8E3}">
      <formula1>"Capital, Revenue"</formula1>
    </dataValidation>
  </dataValidations>
  <hyperlinks>
    <hyperlink ref="B8" r:id="rId1" xr:uid="{E9A90489-9F13-49EF-BCB5-7E1A6205A470}"/>
  </hyperlinks>
  <pageMargins left="0.70866141732283472" right="0.70866141732283472" top="0.74803149606299213" bottom="0.74803149606299213" header="0.31496062992125984" footer="0.31496062992125984"/>
  <pageSetup paperSize="9" scale="78" orientation="landscape" r:id="rId2"/>
  <headerFooter>
    <oddFooter>&amp;RLast updated 25 May 2022</oddFooter>
  </headerFooter>
  <ignoredErrors>
    <ignoredError sqref="G21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62EA50-7FCD-419B-A672-B1596EFD181F}">
          <x14:formula1>
            <xm:f>'Interest Rates'!$D$1:$J$1</xm:f>
          </x14:formula1>
          <xm:sqref>D2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4A90CCB51694EB4D9AC1659E6AC48" ma:contentTypeVersion="15" ma:contentTypeDescription="Create a new document." ma:contentTypeScope="" ma:versionID="31eeeb8b7672d07511a3d941dcbe6e14">
  <xsd:schema xmlns:xsd="http://www.w3.org/2001/XMLSchema" xmlns:xs="http://www.w3.org/2001/XMLSchema" xmlns:p="http://schemas.microsoft.com/office/2006/metadata/properties" xmlns:ns2="76f7bad7-08c0-4d31-beb6-8de2bccf0d5e" xmlns:ns3="62865ea8-f116-406c-9840-b9098c6aa2bd" targetNamespace="http://schemas.microsoft.com/office/2006/metadata/properties" ma:root="true" ma:fieldsID="ecad17f295b3e03120dc0ddc2f682e9f" ns2:_="" ns3:_="">
    <xsd:import namespace="76f7bad7-08c0-4d31-beb6-8de2bccf0d5e"/>
    <xsd:import namespace="62865ea8-f116-406c-9840-b9098c6a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7bad7-08c0-4d31-beb6-8de2bccf0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ddcab1-4fb3-4190-803e-fbe8b4ce9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65ea8-f116-406c-9840-b9098c6aa2b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829e7f-31d0-4ff4-9a33-a81f2fdf0037}" ma:internalName="TaxCatchAll" ma:showField="CatchAllData" ma:web="62865ea8-f116-406c-9840-b9098c6aa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7bad7-08c0-4d31-beb6-8de2bccf0d5e">
      <Terms xmlns="http://schemas.microsoft.com/office/infopath/2007/PartnerControls"/>
    </lcf76f155ced4ddcb4097134ff3c332f>
    <TaxCatchAll xmlns="62865ea8-f116-406c-9840-b9098c6aa2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210EC-52DF-4EE1-918D-BECA23372BD1}"/>
</file>

<file path=customXml/itemProps2.xml><?xml version="1.0" encoding="utf-8"?>
<ds:datastoreItem xmlns:ds="http://schemas.openxmlformats.org/officeDocument/2006/customXml" ds:itemID="{B9A807DD-40FF-4B27-AB9A-3B97806C244C}">
  <ds:schemaRefs>
    <ds:schemaRef ds:uri="http://schemas.microsoft.com/office/2006/metadata/properties"/>
    <ds:schemaRef ds:uri="http://schemas.microsoft.com/office/infopath/2007/PartnerControls"/>
    <ds:schemaRef ds:uri="76f7bad7-08c0-4d31-beb6-8de2bccf0d5e"/>
    <ds:schemaRef ds:uri="62865ea8-f116-406c-9840-b9098c6aa2bd"/>
  </ds:schemaRefs>
</ds:datastoreItem>
</file>

<file path=customXml/itemProps3.xml><?xml version="1.0" encoding="utf-8"?>
<ds:datastoreItem xmlns:ds="http://schemas.openxmlformats.org/officeDocument/2006/customXml" ds:itemID="{EBD9930C-167B-4C8A-AB6E-033EFC1A2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Interest Rates</vt:lpstr>
      <vt:lpstr>School Template</vt:lpstr>
      <vt:lpstr>'School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Walter, Steve - CY EPA</dc:creator>
  <cp:lastModifiedBy>Walter, Steve - TEP</cp:lastModifiedBy>
  <cp:lastPrinted>2022-05-25T10:40:30Z</cp:lastPrinted>
  <dcterms:created xsi:type="dcterms:W3CDTF">2018-09-13T11:22:39Z</dcterms:created>
  <dcterms:modified xsi:type="dcterms:W3CDTF">2022-11-07T13:13:37Z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0x010100D054A90CCB51694EB4D9AC1659E6AC48</vt:lpwstr>
  </property>
  <property fmtid="{D5CDD505-2E9C-101B-9397-08002B2CF9AE}" pid="3" name="Order">
    <vt:r8>100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