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theeducationpeople.sharepoint.com/sites/tep/SFS/Statutory/Closedown/Master Closedown Forms/2025-26/"/>
    </mc:Choice>
  </mc:AlternateContent>
  <xr:revisionPtr revIDLastSave="13" documentId="8_{4F77C38E-1A43-4CC5-A1A8-F4CBE82450FE}" xr6:coauthVersionLast="47" xr6:coauthVersionMax="47" xr10:uidLastSave="{E7F1B1B2-3880-44B9-8993-78E61C775F91}"/>
  <workbookProtection workbookAlgorithmName="SHA-512" workbookHashValue="WMZ6yXganxklzPWVf+HEqsgAStqwjavlS7+hRQGRlXB7ZQpEFaF2LApEiUC2XKIEb1eE0wR9qWKtOtYJeJ4rPA==" workbookSaltValue="GkiHuMIw1Kh5cKCw2/gjRA==" workbookSpinCount="100000" lockStructure="1"/>
  <bookViews>
    <workbookView xWindow="28680" yWindow="-120" windowWidth="29040" windowHeight="15840" firstSheet="2" activeTab="2" xr2:uid="{00000000-000D-0000-FFFF-FFFF00000000}"/>
  </bookViews>
  <sheets>
    <sheet name="Guidance" sheetId="3" r:id="rId1"/>
    <sheet name="BCM_criteria" sheetId="12" r:id="rId2"/>
    <sheet name="Balances_form" sheetId="1" r:id="rId3"/>
    <sheet name="4.1_Capital" sheetId="8" r:id="rId4"/>
    <sheet name="4.2_Other_Schools" sheetId="6" r:id="rId5"/>
    <sheet name="4.3_Late_allocations" sheetId="7" r:id="rId6"/>
    <sheet name="4.4_Other_grant_income" sheetId="11" r:id="rId7"/>
    <sheet name="Lookup" sheetId="2" state="hidden" r:id="rId8"/>
    <sheet name="Validation" sheetId="10" state="hidden" r:id="rId9"/>
  </sheets>
  <definedNames>
    <definedName name="_xlnm._FilterDatabase" localSheetId="7" hidden="1">Lookup!$A$2:$N$297</definedName>
    <definedName name="_xleta.ROW" hidden="1" xlm="1">#NAME?</definedName>
    <definedName name="ECC">#REF!</definedName>
    <definedName name="_xlnm.Print_Area" localSheetId="2">Balances_form!$A$1:$E$29</definedName>
    <definedName name="reorgs">#REF!</definedName>
    <definedName name="S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3" i="1" l="1"/>
  <c r="D17" i="8"/>
  <c r="C17" i="8"/>
  <c r="C16" i="8"/>
  <c r="D16" i="8"/>
  <c r="D15" i="8"/>
  <c r="D14" i="8"/>
  <c r="C15" i="8"/>
  <c r="C14" i="8"/>
  <c r="C18" i="11"/>
  <c r="C17" i="11"/>
  <c r="C16" i="11"/>
  <c r="C15" i="11"/>
  <c r="C14" i="11"/>
  <c r="B17" i="11"/>
  <c r="B16" i="11"/>
  <c r="B15" i="11"/>
  <c r="B14" i="11"/>
  <c r="B17" i="8"/>
  <c r="B16" i="8"/>
  <c r="B15" i="8"/>
  <c r="B14" i="8"/>
  <c r="C18" i="8" l="1"/>
  <c r="D18" i="8"/>
  <c r="F19" i="1" l="1"/>
  <c r="D17" i="11"/>
  <c r="D16" i="11"/>
  <c r="D15" i="11"/>
  <c r="D14" i="11"/>
  <c r="F1" i="11"/>
  <c r="I1" i="11" s="1"/>
  <c r="E17" i="6"/>
  <c r="E14" i="6"/>
  <c r="E15" i="6"/>
  <c r="E16" i="6"/>
  <c r="E13" i="6"/>
  <c r="B2" i="1"/>
  <c r="B2" i="11" s="1"/>
  <c r="G18" i="7"/>
  <c r="H14" i="7"/>
  <c r="G13" i="6"/>
  <c r="E17" i="8"/>
  <c r="E16" i="8"/>
  <c r="E15" i="8"/>
  <c r="E14" i="8"/>
  <c r="D17" i="6"/>
  <c r="F18" i="1"/>
  <c r="F17" i="1"/>
  <c r="E1" i="7"/>
  <c r="H1" i="7" s="1"/>
  <c r="F1" i="8"/>
  <c r="F1" i="6" s="1"/>
  <c r="H1" i="6" s="1"/>
  <c r="E12" i="1"/>
  <c r="E13" i="11" l="1"/>
  <c r="G1" i="11"/>
  <c r="F13" i="8"/>
  <c r="F1" i="7"/>
  <c r="G1" i="8"/>
  <c r="I1" i="8"/>
  <c r="E6" i="1"/>
  <c r="E24" i="1" l="1"/>
  <c r="E28" i="1" s="1"/>
  <c r="H28" i="1" s="1"/>
  <c r="E4" i="2" l="1"/>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E223" i="2"/>
  <c r="E224" i="2"/>
  <c r="E225" i="2"/>
  <c r="E226" i="2"/>
  <c r="E227" i="2"/>
  <c r="E228" i="2"/>
  <c r="E229" i="2"/>
  <c r="E230" i="2"/>
  <c r="E231" i="2"/>
  <c r="E232" i="2"/>
  <c r="E233" i="2"/>
  <c r="E234" i="2"/>
  <c r="E235" i="2"/>
  <c r="E236" i="2"/>
  <c r="E237" i="2"/>
  <c r="E238" i="2"/>
  <c r="E239" i="2"/>
  <c r="E240" i="2"/>
  <c r="E241" i="2"/>
  <c r="E242" i="2"/>
  <c r="E243" i="2"/>
  <c r="E244" i="2"/>
  <c r="E245" i="2"/>
  <c r="E246" i="2"/>
  <c r="E247" i="2"/>
  <c r="E248" i="2"/>
  <c r="E249" i="2"/>
  <c r="E250" i="2"/>
  <c r="E251" i="2"/>
  <c r="E252" i="2"/>
  <c r="E253" i="2"/>
  <c r="E254" i="2"/>
  <c r="E255" i="2"/>
  <c r="E256" i="2"/>
  <c r="E257" i="2"/>
  <c r="E258" i="2"/>
  <c r="E259" i="2"/>
  <c r="E260" i="2"/>
  <c r="E261" i="2"/>
  <c r="E262" i="2"/>
  <c r="E263" i="2"/>
  <c r="E264" i="2"/>
  <c r="E265" i="2"/>
  <c r="E266" i="2"/>
  <c r="E267" i="2"/>
  <c r="E268" i="2"/>
  <c r="E269" i="2"/>
  <c r="E270" i="2"/>
  <c r="E271" i="2"/>
  <c r="E272" i="2"/>
  <c r="E273" i="2"/>
  <c r="E274" i="2"/>
  <c r="E275" i="2"/>
  <c r="E276" i="2"/>
  <c r="E277" i="2"/>
  <c r="E278" i="2"/>
  <c r="E279" i="2"/>
  <c r="E280" i="2"/>
  <c r="E281" i="2"/>
  <c r="E282" i="2"/>
  <c r="E283" i="2"/>
  <c r="E284" i="2"/>
  <c r="E285" i="2"/>
  <c r="E286" i="2"/>
  <c r="E287" i="2"/>
  <c r="E288" i="2"/>
  <c r="E289" i="2"/>
  <c r="E290" i="2"/>
  <c r="E291" i="2"/>
  <c r="E292" i="2"/>
  <c r="E293" i="2"/>
  <c r="E294" i="2"/>
  <c r="E295" i="2"/>
  <c r="E296" i="2"/>
  <c r="E297" i="2"/>
  <c r="E3" i="2"/>
  <c r="L297" i="2" l="1"/>
  <c r="C297" i="2" s="1"/>
  <c r="F5" i="1" l="1"/>
  <c r="M297" i="2"/>
  <c r="O297" i="2" s="1"/>
  <c r="P297" i="2" s="1"/>
  <c r="Q297" i="2" l="1"/>
  <c r="M291" i="2"/>
  <c r="O291" i="2" s="1"/>
  <c r="M295" i="2"/>
  <c r="O295" i="2" s="1"/>
  <c r="P295" i="2" s="1"/>
  <c r="M279" i="2"/>
  <c r="O279" i="2" s="1"/>
  <c r="P279" i="2" s="1"/>
  <c r="M272" i="2"/>
  <c r="O272" i="2" s="1"/>
  <c r="P272" i="2" s="1"/>
  <c r="Q272" i="2" s="1"/>
  <c r="M267" i="2"/>
  <c r="O267" i="2" s="1"/>
  <c r="M260" i="2"/>
  <c r="O260" i="2" s="1"/>
  <c r="P260" i="2" s="1"/>
  <c r="Q260" i="2" s="1"/>
  <c r="M254" i="2"/>
  <c r="O254" i="2" s="1"/>
  <c r="P254" i="2" s="1"/>
  <c r="Q254" i="2" s="1"/>
  <c r="M249" i="2"/>
  <c r="O249" i="2" s="1"/>
  <c r="M243" i="2"/>
  <c r="O243" i="2" s="1"/>
  <c r="P243" i="2" s="1"/>
  <c r="Q243" i="2" s="1"/>
  <c r="M237" i="2"/>
  <c r="O237" i="2" s="1"/>
  <c r="P237" i="2" s="1"/>
  <c r="Q237" i="2" s="1"/>
  <c r="M224" i="2"/>
  <c r="O224" i="2" s="1"/>
  <c r="P224" i="2" s="1"/>
  <c r="Q224" i="2" s="1"/>
  <c r="M216" i="2"/>
  <c r="O216" i="2" s="1"/>
  <c r="M201" i="2"/>
  <c r="O201" i="2" s="1"/>
  <c r="M193" i="2"/>
  <c r="O193" i="2" s="1"/>
  <c r="M185" i="2"/>
  <c r="O185" i="2" s="1"/>
  <c r="M180" i="2"/>
  <c r="O180" i="2" s="1"/>
  <c r="P180" i="2" s="1"/>
  <c r="M172" i="2"/>
  <c r="O172" i="2" s="1"/>
  <c r="P172" i="2" s="1"/>
  <c r="M165" i="2"/>
  <c r="O165" i="2" s="1"/>
  <c r="P165" i="2" s="1"/>
  <c r="Q165" i="2" s="1"/>
  <c r="M157" i="2"/>
  <c r="O157" i="2" s="1"/>
  <c r="P157" i="2" s="1"/>
  <c r="M150" i="2"/>
  <c r="O150" i="2" s="1"/>
  <c r="P150" i="2" s="1"/>
  <c r="M142" i="2"/>
  <c r="O142" i="2" s="1"/>
  <c r="M135" i="2"/>
  <c r="O135" i="2" s="1"/>
  <c r="P135" i="2" s="1"/>
  <c r="M128" i="2"/>
  <c r="O128" i="2" s="1"/>
  <c r="P128" i="2" s="1"/>
  <c r="M122" i="2"/>
  <c r="O122" i="2" s="1"/>
  <c r="P122" i="2" s="1"/>
  <c r="M113" i="2"/>
  <c r="O113" i="2" s="1"/>
  <c r="P113" i="2" s="1"/>
  <c r="M107" i="2"/>
  <c r="O107" i="2" s="1"/>
  <c r="P107" i="2" s="1"/>
  <c r="Q107" i="2" s="1"/>
  <c r="M101" i="2"/>
  <c r="O101" i="2" s="1"/>
  <c r="M93" i="2"/>
  <c r="O93" i="2" s="1"/>
  <c r="P93" i="2" s="1"/>
  <c r="M85" i="2"/>
  <c r="O85" i="2" s="1"/>
  <c r="P85" i="2" s="1"/>
  <c r="M78" i="2"/>
  <c r="O78" i="2" s="1"/>
  <c r="P78" i="2" s="1"/>
  <c r="M64" i="2"/>
  <c r="O64" i="2" s="1"/>
  <c r="P64" i="2" s="1"/>
  <c r="M51" i="2"/>
  <c r="O51" i="2" s="1"/>
  <c r="M44" i="2"/>
  <c r="O44" i="2" s="1"/>
  <c r="P44" i="2" s="1"/>
  <c r="Q44" i="2" s="1"/>
  <c r="M37" i="2"/>
  <c r="O37" i="2" s="1"/>
  <c r="M29" i="2"/>
  <c r="O29" i="2" s="1"/>
  <c r="P29" i="2" s="1"/>
  <c r="Q29" i="2" s="1"/>
  <c r="M18" i="2"/>
  <c r="O18" i="2" s="1"/>
  <c r="M7" i="2"/>
  <c r="O7" i="2" s="1"/>
  <c r="P7" i="2" s="1"/>
  <c r="F1" i="1"/>
  <c r="H1" i="1"/>
  <c r="F28" i="1" s="1"/>
  <c r="M3" i="2"/>
  <c r="O3" i="2" s="1"/>
  <c r="P3" i="2" s="1"/>
  <c r="M9" i="2"/>
  <c r="O9" i="2" s="1"/>
  <c r="P9" i="2" s="1"/>
  <c r="M14" i="2"/>
  <c r="O14" i="2" s="1"/>
  <c r="P14" i="2" s="1"/>
  <c r="M25" i="2"/>
  <c r="O25" i="2" s="1"/>
  <c r="M41" i="2"/>
  <c r="O41" i="2" s="1"/>
  <c r="M54" i="2"/>
  <c r="O54" i="2" s="1"/>
  <c r="M68" i="2"/>
  <c r="O68" i="2" s="1"/>
  <c r="P68" i="2" s="1"/>
  <c r="M81" i="2"/>
  <c r="O81" i="2" s="1"/>
  <c r="P81" i="2" s="1"/>
  <c r="M97" i="2"/>
  <c r="O97" i="2" s="1"/>
  <c r="M111" i="2"/>
  <c r="O111" i="2" s="1"/>
  <c r="M132" i="2"/>
  <c r="O132" i="2" s="1"/>
  <c r="P132" i="2" s="1"/>
  <c r="M146" i="2"/>
  <c r="O146" i="2" s="1"/>
  <c r="M161" i="2"/>
  <c r="O161" i="2" s="1"/>
  <c r="P161" i="2" s="1"/>
  <c r="M176" i="2"/>
  <c r="O176" i="2" s="1"/>
  <c r="M189" i="2"/>
  <c r="O189" i="2" s="1"/>
  <c r="P189" i="2" s="1"/>
  <c r="Q189" i="2" s="1"/>
  <c r="M205" i="2"/>
  <c r="O205" i="2" s="1"/>
  <c r="P205" i="2" s="1"/>
  <c r="Q205" i="2" s="1"/>
  <c r="M220" i="2"/>
  <c r="O220" i="2" s="1"/>
  <c r="P220" i="2" s="1"/>
  <c r="M233" i="2"/>
  <c r="O233" i="2" s="1"/>
  <c r="P233" i="2" s="1"/>
  <c r="Q233" i="2" s="1"/>
  <c r="M245" i="2"/>
  <c r="O245" i="2" s="1"/>
  <c r="M257" i="2"/>
  <c r="O257" i="2" s="1"/>
  <c r="P257" i="2" s="1"/>
  <c r="M269" i="2"/>
  <c r="O269" i="2" s="1"/>
  <c r="M283" i="2"/>
  <c r="O283" i="2" s="1"/>
  <c r="M287" i="2"/>
  <c r="O287" i="2" s="1"/>
  <c r="M5" i="2"/>
  <c r="O5" i="2" s="1"/>
  <c r="M11" i="2"/>
  <c r="O11" i="2" s="1"/>
  <c r="M20" i="2"/>
  <c r="O20" i="2" s="1"/>
  <c r="P20" i="2" s="1"/>
  <c r="Q20" i="2" s="1"/>
  <c r="M33" i="2"/>
  <c r="O33" i="2" s="1"/>
  <c r="M61" i="2"/>
  <c r="O61" i="2" s="1"/>
  <c r="P61" i="2" s="1"/>
  <c r="Q61" i="2" s="1"/>
  <c r="M74" i="2"/>
  <c r="O74" i="2" s="1"/>
  <c r="M89" i="2"/>
  <c r="O89" i="2" s="1"/>
  <c r="P89" i="2" s="1"/>
  <c r="Q89" i="2" s="1"/>
  <c r="M104" i="2"/>
  <c r="O104" i="2" s="1"/>
  <c r="M115" i="2"/>
  <c r="O115" i="2" s="1"/>
  <c r="M125" i="2"/>
  <c r="O125" i="2" s="1"/>
  <c r="P125" i="2" s="1"/>
  <c r="Q125" i="2" s="1"/>
  <c r="M138" i="2"/>
  <c r="O138" i="2" s="1"/>
  <c r="M154" i="2"/>
  <c r="O154" i="2" s="1"/>
  <c r="M168" i="2"/>
  <c r="O168" i="2" s="1"/>
  <c r="P168" i="2" s="1"/>
  <c r="M183" i="2"/>
  <c r="O183" i="2" s="1"/>
  <c r="P183" i="2" s="1"/>
  <c r="Q183" i="2" s="1"/>
  <c r="M197" i="2"/>
  <c r="O197" i="2" s="1"/>
  <c r="P197" i="2" s="1"/>
  <c r="Q197" i="2" s="1"/>
  <c r="M212" i="2"/>
  <c r="O212" i="2" s="1"/>
  <c r="P212" i="2" s="1"/>
  <c r="M241" i="2"/>
  <c r="O241" i="2" s="1"/>
  <c r="P241" i="2" s="1"/>
  <c r="M264" i="2"/>
  <c r="O264" i="2" s="1"/>
  <c r="P264" i="2" s="1"/>
  <c r="M296" i="2"/>
  <c r="O296" i="2" s="1"/>
  <c r="P296" i="2" s="1"/>
  <c r="M292" i="2"/>
  <c r="O292" i="2" s="1"/>
  <c r="P292" i="2" s="1"/>
  <c r="Q292" i="2" s="1"/>
  <c r="M288" i="2"/>
  <c r="O288" i="2" s="1"/>
  <c r="P288" i="2" s="1"/>
  <c r="Q288" i="2" s="1"/>
  <c r="M284" i="2"/>
  <c r="O284" i="2" s="1"/>
  <c r="P284" i="2" s="1"/>
  <c r="Q284" i="2" s="1"/>
  <c r="M280" i="2"/>
  <c r="O280" i="2" s="1"/>
  <c r="M276" i="2"/>
  <c r="O276" i="2" s="1"/>
  <c r="P276" i="2" s="1"/>
  <c r="M273" i="2"/>
  <c r="O273" i="2" s="1"/>
  <c r="P273" i="2" s="1"/>
  <c r="M270" i="2"/>
  <c r="O270" i="2" s="1"/>
  <c r="M265" i="2"/>
  <c r="O265" i="2" s="1"/>
  <c r="P265" i="2" s="1"/>
  <c r="Q265" i="2" s="1"/>
  <c r="M261" i="2"/>
  <c r="O261" i="2" s="1"/>
  <c r="P261" i="2" s="1"/>
  <c r="M258" i="2"/>
  <c r="O258" i="2" s="1"/>
  <c r="P258" i="2" s="1"/>
  <c r="Q258" i="2" s="1"/>
  <c r="M255" i="2"/>
  <c r="O255" i="2" s="1"/>
  <c r="M251" i="2"/>
  <c r="O251" i="2" s="1"/>
  <c r="P251" i="2" s="1"/>
  <c r="Q251" i="2" s="1"/>
  <c r="M246" i="2"/>
  <c r="O246" i="2" s="1"/>
  <c r="P246" i="2" s="1"/>
  <c r="M244" i="2"/>
  <c r="O244" i="2" s="1"/>
  <c r="P244" i="2" s="1"/>
  <c r="M242" i="2"/>
  <c r="O242" i="2" s="1"/>
  <c r="M238" i="2"/>
  <c r="O238" i="2" s="1"/>
  <c r="P238" i="2" s="1"/>
  <c r="Q238" i="2" s="1"/>
  <c r="M234" i="2"/>
  <c r="O234" i="2" s="1"/>
  <c r="M230" i="2"/>
  <c r="O230" i="2" s="1"/>
  <c r="P230" i="2" s="1"/>
  <c r="M227" i="2"/>
  <c r="O227" i="2" s="1"/>
  <c r="M225" i="2"/>
  <c r="O225" i="2" s="1"/>
  <c r="P225" i="2" s="1"/>
  <c r="M221" i="2"/>
  <c r="O221" i="2" s="1"/>
  <c r="M217" i="2"/>
  <c r="O217" i="2" s="1"/>
  <c r="P217" i="2" s="1"/>
  <c r="M213" i="2"/>
  <c r="O213" i="2" s="1"/>
  <c r="M209" i="2"/>
  <c r="O209" i="2" s="1"/>
  <c r="P209" i="2" s="1"/>
  <c r="M206" i="2"/>
  <c r="O206" i="2" s="1"/>
  <c r="P206" i="2" s="1"/>
  <c r="M202" i="2"/>
  <c r="O202" i="2" s="1"/>
  <c r="P202" i="2" s="1"/>
  <c r="M198" i="2"/>
  <c r="O198" i="2" s="1"/>
  <c r="M194" i="2"/>
  <c r="O194" i="2" s="1"/>
  <c r="P194" i="2" s="1"/>
  <c r="M190" i="2"/>
  <c r="O190" i="2" s="1"/>
  <c r="M186" i="2"/>
  <c r="O186" i="2" s="1"/>
  <c r="P186" i="2" s="1"/>
  <c r="M184" i="2"/>
  <c r="O184" i="2" s="1"/>
  <c r="M177" i="2"/>
  <c r="O177" i="2" s="1"/>
  <c r="P177" i="2" s="1"/>
  <c r="Q177" i="2" s="1"/>
  <c r="M173" i="2"/>
  <c r="O173" i="2" s="1"/>
  <c r="P173" i="2" s="1"/>
  <c r="M169" i="2"/>
  <c r="O169" i="2" s="1"/>
  <c r="P169" i="2" s="1"/>
  <c r="Q169" i="2" s="1"/>
  <c r="M166" i="2"/>
  <c r="O166" i="2" s="1"/>
  <c r="M162" i="2"/>
  <c r="O162" i="2" s="1"/>
  <c r="P162" i="2" s="1"/>
  <c r="Q162" i="2" s="1"/>
  <c r="M158" i="2"/>
  <c r="O158" i="2" s="1"/>
  <c r="M155" i="2"/>
  <c r="O155" i="2" s="1"/>
  <c r="M151" i="2"/>
  <c r="O151" i="2" s="1"/>
  <c r="P151" i="2" s="1"/>
  <c r="M147" i="2"/>
  <c r="O147" i="2" s="1"/>
  <c r="P147" i="2" s="1"/>
  <c r="M143" i="2"/>
  <c r="O143" i="2" s="1"/>
  <c r="P143" i="2" s="1"/>
  <c r="M139" i="2"/>
  <c r="O139" i="2" s="1"/>
  <c r="M129" i="2"/>
  <c r="O129" i="2" s="1"/>
  <c r="P129" i="2" s="1"/>
  <c r="M123" i="2"/>
  <c r="O123" i="2" s="1"/>
  <c r="M120" i="2"/>
  <c r="O120" i="2" s="1"/>
  <c r="M116" i="2"/>
  <c r="O116" i="2" s="1"/>
  <c r="P116" i="2" s="1"/>
  <c r="M108" i="2"/>
  <c r="O108" i="2" s="1"/>
  <c r="P108" i="2" s="1"/>
  <c r="M105" i="2"/>
  <c r="O105" i="2" s="1"/>
  <c r="M98" i="2"/>
  <c r="O98" i="2" s="1"/>
  <c r="M94" i="2"/>
  <c r="O94" i="2" s="1"/>
  <c r="P94" i="2" s="1"/>
  <c r="M90" i="2"/>
  <c r="O90" i="2" s="1"/>
  <c r="M86" i="2"/>
  <c r="O86" i="2" s="1"/>
  <c r="P86" i="2" s="1"/>
  <c r="M82" i="2"/>
  <c r="O82" i="2" s="1"/>
  <c r="P82" i="2" s="1"/>
  <c r="M75" i="2"/>
  <c r="O75" i="2" s="1"/>
  <c r="P75" i="2" s="1"/>
  <c r="Q75" i="2" s="1"/>
  <c r="M71" i="2"/>
  <c r="O71" i="2" s="1"/>
  <c r="M69" i="2"/>
  <c r="O69" i="2" s="1"/>
  <c r="M65" i="2"/>
  <c r="O65" i="2" s="1"/>
  <c r="M62" i="2"/>
  <c r="O62" i="2" s="1"/>
  <c r="P62" i="2" s="1"/>
  <c r="M58" i="2"/>
  <c r="O58" i="2" s="1"/>
  <c r="P58" i="2" s="1"/>
  <c r="M55" i="2"/>
  <c r="O55" i="2" s="1"/>
  <c r="P55" i="2" s="1"/>
  <c r="Q55" i="2" s="1"/>
  <c r="M52" i="2"/>
  <c r="O52" i="2" s="1"/>
  <c r="M48" i="2"/>
  <c r="O48" i="2" s="1"/>
  <c r="P48" i="2" s="1"/>
  <c r="Q48" i="2" s="1"/>
  <c r="M45" i="2"/>
  <c r="O45" i="2" s="1"/>
  <c r="P45" i="2" s="1"/>
  <c r="M42" i="2"/>
  <c r="O42" i="2" s="1"/>
  <c r="M38" i="2"/>
  <c r="O38" i="2" s="1"/>
  <c r="P38" i="2" s="1"/>
  <c r="M34" i="2"/>
  <c r="O34" i="2" s="1"/>
  <c r="P34" i="2" s="1"/>
  <c r="M30" i="2"/>
  <c r="O30" i="2" s="1"/>
  <c r="P30" i="2" s="1"/>
  <c r="Q30" i="2" s="1"/>
  <c r="M26" i="2"/>
  <c r="O26" i="2" s="1"/>
  <c r="M21" i="2"/>
  <c r="O21" i="2" s="1"/>
  <c r="P21" i="2" s="1"/>
  <c r="M15" i="2"/>
  <c r="O15" i="2" s="1"/>
  <c r="P15" i="2" s="1"/>
  <c r="Q15" i="2" s="1"/>
  <c r="M294" i="2"/>
  <c r="O294" i="2" s="1"/>
  <c r="P294" i="2" s="1"/>
  <c r="Q294" i="2" s="1"/>
  <c r="M290" i="2"/>
  <c r="O290" i="2" s="1"/>
  <c r="M286" i="2"/>
  <c r="O286" i="2" s="1"/>
  <c r="P286" i="2" s="1"/>
  <c r="M282" i="2"/>
  <c r="O282" i="2" s="1"/>
  <c r="M278" i="2"/>
  <c r="O278" i="2" s="1"/>
  <c r="P278" i="2" s="1"/>
  <c r="Q278" i="2" s="1"/>
  <c r="M275" i="2"/>
  <c r="O275" i="2" s="1"/>
  <c r="P275" i="2" s="1"/>
  <c r="M266" i="2"/>
  <c r="O266" i="2" s="1"/>
  <c r="P266" i="2" s="1"/>
  <c r="M263" i="2"/>
  <c r="O263" i="2" s="1"/>
  <c r="P263" i="2" s="1"/>
  <c r="M253" i="2"/>
  <c r="O253" i="2" s="1"/>
  <c r="P253" i="2" s="1"/>
  <c r="M250" i="2"/>
  <c r="O250" i="2" s="1"/>
  <c r="P250" i="2" s="1"/>
  <c r="Q250" i="2" s="1"/>
  <c r="M248" i="2"/>
  <c r="O248" i="2" s="1"/>
  <c r="P248" i="2" s="1"/>
  <c r="Q248" i="2" s="1"/>
  <c r="M240" i="2"/>
  <c r="O240" i="2" s="1"/>
  <c r="P240" i="2" s="1"/>
  <c r="Q240" i="2" s="1"/>
  <c r="M236" i="2"/>
  <c r="O236" i="2" s="1"/>
  <c r="M232" i="2"/>
  <c r="O232" i="2" s="1"/>
  <c r="P232" i="2" s="1"/>
  <c r="M229" i="2"/>
  <c r="O229" i="2" s="1"/>
  <c r="P229" i="2" s="1"/>
  <c r="M226" i="2"/>
  <c r="O226" i="2" s="1"/>
  <c r="P226" i="2" s="1"/>
  <c r="M223" i="2"/>
  <c r="O223" i="2" s="1"/>
  <c r="M219" i="2"/>
  <c r="O219" i="2" s="1"/>
  <c r="P219" i="2" s="1"/>
  <c r="Q219" i="2" s="1"/>
  <c r="M215" i="2"/>
  <c r="O215" i="2" s="1"/>
  <c r="M211" i="2"/>
  <c r="O211" i="2" s="1"/>
  <c r="P211" i="2" s="1"/>
  <c r="Q211" i="2" s="1"/>
  <c r="M208" i="2"/>
  <c r="O208" i="2" s="1"/>
  <c r="P208" i="2" s="1"/>
  <c r="M204" i="2"/>
  <c r="O204" i="2" s="1"/>
  <c r="P204" i="2" s="1"/>
  <c r="Q204" i="2" s="1"/>
  <c r="M200" i="2"/>
  <c r="O200" i="2" s="1"/>
  <c r="M196" i="2"/>
  <c r="O196" i="2" s="1"/>
  <c r="P196" i="2" s="1"/>
  <c r="Q196" i="2" s="1"/>
  <c r="M192" i="2"/>
  <c r="O192" i="2" s="1"/>
  <c r="P192" i="2" s="1"/>
  <c r="Q192" i="2" s="1"/>
  <c r="M188" i="2"/>
  <c r="O188" i="2" s="1"/>
  <c r="M182" i="2"/>
  <c r="O182" i="2" s="1"/>
  <c r="M179" i="2"/>
  <c r="O179" i="2" s="1"/>
  <c r="P179" i="2" s="1"/>
  <c r="M175" i="2"/>
  <c r="O175" i="2" s="1"/>
  <c r="P175" i="2" s="1"/>
  <c r="Q175" i="2" s="1"/>
  <c r="M171" i="2"/>
  <c r="O171" i="2" s="1"/>
  <c r="M167" i="2"/>
  <c r="O167" i="2" s="1"/>
  <c r="P167" i="2" s="1"/>
  <c r="M164" i="2"/>
  <c r="O164" i="2" s="1"/>
  <c r="P164" i="2" s="1"/>
  <c r="M160" i="2"/>
  <c r="O160" i="2" s="1"/>
  <c r="P160" i="2" s="1"/>
  <c r="M153" i="2"/>
  <c r="O153" i="2" s="1"/>
  <c r="M149" i="2"/>
  <c r="O149" i="2" s="1"/>
  <c r="P149" i="2" s="1"/>
  <c r="Q149" i="2" s="1"/>
  <c r="M145" i="2"/>
  <c r="O145" i="2" s="1"/>
  <c r="P145" i="2" s="1"/>
  <c r="Q145" i="2" s="1"/>
  <c r="M141" i="2"/>
  <c r="O141" i="2" s="1"/>
  <c r="P141" i="2" s="1"/>
  <c r="Q141" i="2" s="1"/>
  <c r="M137" i="2"/>
  <c r="O137" i="2" s="1"/>
  <c r="M134" i="2"/>
  <c r="O134" i="2" s="1"/>
  <c r="P134" i="2" s="1"/>
  <c r="Q134" i="2" s="1"/>
  <c r="M131" i="2"/>
  <c r="O131" i="2" s="1"/>
  <c r="P131" i="2" s="1"/>
  <c r="Q131" i="2" s="1"/>
  <c r="M127" i="2"/>
  <c r="O127" i="2" s="1"/>
  <c r="P127" i="2" s="1"/>
  <c r="Q127" i="2" s="1"/>
  <c r="M124" i="2"/>
  <c r="O124" i="2" s="1"/>
  <c r="M121" i="2"/>
  <c r="O121" i="2" s="1"/>
  <c r="P121" i="2" s="1"/>
  <c r="M118" i="2"/>
  <c r="O118" i="2" s="1"/>
  <c r="P118" i="2" s="1"/>
  <c r="M110" i="2"/>
  <c r="O110" i="2" s="1"/>
  <c r="P110" i="2" s="1"/>
  <c r="Q110" i="2" s="1"/>
  <c r="M103" i="2"/>
  <c r="O103" i="2" s="1"/>
  <c r="M100" i="2"/>
  <c r="O100" i="2" s="1"/>
  <c r="P100" i="2" s="1"/>
  <c r="Q100" i="2" s="1"/>
  <c r="M96" i="2"/>
  <c r="O96" i="2" s="1"/>
  <c r="P96" i="2" s="1"/>
  <c r="M92" i="2"/>
  <c r="O92" i="2" s="1"/>
  <c r="P92" i="2" s="1"/>
  <c r="M88" i="2"/>
  <c r="O88" i="2" s="1"/>
  <c r="M84" i="2"/>
  <c r="O84" i="2" s="1"/>
  <c r="M80" i="2"/>
  <c r="O80" i="2" s="1"/>
  <c r="P80" i="2" s="1"/>
  <c r="Q80" i="2" s="1"/>
  <c r="M77" i="2"/>
  <c r="O77" i="2" s="1"/>
  <c r="M73" i="2"/>
  <c r="O73" i="2" s="1"/>
  <c r="P73" i="2" s="1"/>
  <c r="M70" i="2"/>
  <c r="O70" i="2" s="1"/>
  <c r="M67" i="2"/>
  <c r="O67" i="2" s="1"/>
  <c r="P67" i="2" s="1"/>
  <c r="Q67" i="2" s="1"/>
  <c r="M63" i="2"/>
  <c r="O63" i="2" s="1"/>
  <c r="M60" i="2"/>
  <c r="O60" i="2" s="1"/>
  <c r="M57" i="2"/>
  <c r="O57" i="2" s="1"/>
  <c r="M50" i="2"/>
  <c r="O50" i="2" s="1"/>
  <c r="M47" i="2"/>
  <c r="O47" i="2" s="1"/>
  <c r="P47" i="2" s="1"/>
  <c r="M43" i="2"/>
  <c r="M40" i="2"/>
  <c r="O40" i="2" s="1"/>
  <c r="P40" i="2" s="1"/>
  <c r="M36" i="2"/>
  <c r="O36" i="2" s="1"/>
  <c r="M32" i="2"/>
  <c r="O32" i="2" s="1"/>
  <c r="P32" i="2" s="1"/>
  <c r="Q32" i="2" s="1"/>
  <c r="M28" i="2"/>
  <c r="O28" i="2" s="1"/>
  <c r="P28" i="2" s="1"/>
  <c r="M24" i="2"/>
  <c r="O24" i="2" s="1"/>
  <c r="M17" i="2"/>
  <c r="O17" i="2" s="1"/>
  <c r="M13" i="2"/>
  <c r="O13" i="2" s="1"/>
  <c r="P13" i="2" s="1"/>
  <c r="M293" i="2"/>
  <c r="O293" i="2" s="1"/>
  <c r="P293" i="2" s="1"/>
  <c r="M285" i="2"/>
  <c r="O285" i="2" s="1"/>
  <c r="P285" i="2" s="1"/>
  <c r="M277" i="2"/>
  <c r="O277" i="2" s="1"/>
  <c r="M271" i="2"/>
  <c r="O271" i="2" s="1"/>
  <c r="M259" i="2"/>
  <c r="O259" i="2" s="1"/>
  <c r="P259" i="2" s="1"/>
  <c r="M252" i="2"/>
  <c r="O252" i="2" s="1"/>
  <c r="M247" i="2"/>
  <c r="O247" i="2" s="1"/>
  <c r="P247" i="2" s="1"/>
  <c r="M235" i="2"/>
  <c r="O235" i="2" s="1"/>
  <c r="M228" i="2"/>
  <c r="O228" i="2" s="1"/>
  <c r="M222" i="2"/>
  <c r="O222" i="2" s="1"/>
  <c r="M214" i="2"/>
  <c r="O214" i="2" s="1"/>
  <c r="P214" i="2" s="1"/>
  <c r="M207" i="2"/>
  <c r="O207" i="2" s="1"/>
  <c r="P207" i="2" s="1"/>
  <c r="M199" i="2"/>
  <c r="O199" i="2" s="1"/>
  <c r="P199" i="2" s="1"/>
  <c r="M191" i="2"/>
  <c r="O191" i="2" s="1"/>
  <c r="P191" i="2" s="1"/>
  <c r="M178" i="2"/>
  <c r="O178" i="2" s="1"/>
  <c r="P178" i="2" s="1"/>
  <c r="Q178" i="2" s="1"/>
  <c r="M170" i="2"/>
  <c r="O170" i="2" s="1"/>
  <c r="P170" i="2" s="1"/>
  <c r="M163" i="2"/>
  <c r="O163" i="2" s="1"/>
  <c r="P163" i="2" s="1"/>
  <c r="M156" i="2"/>
  <c r="O156" i="2" s="1"/>
  <c r="P156" i="2" s="1"/>
  <c r="M148" i="2"/>
  <c r="O148" i="2" s="1"/>
  <c r="P148" i="2" s="1"/>
  <c r="M140" i="2"/>
  <c r="O140" i="2" s="1"/>
  <c r="M133" i="2"/>
  <c r="O133" i="2" s="1"/>
  <c r="M126" i="2"/>
  <c r="O126" i="2" s="1"/>
  <c r="P126" i="2" s="1"/>
  <c r="M117" i="2"/>
  <c r="O117" i="2" s="1"/>
  <c r="P117" i="2" s="1"/>
  <c r="M112" i="2"/>
  <c r="O112" i="2" s="1"/>
  <c r="M106" i="2"/>
  <c r="O106" i="2" s="1"/>
  <c r="P106" i="2" s="1"/>
  <c r="Q106" i="2" s="1"/>
  <c r="M99" i="2"/>
  <c r="O99" i="2" s="1"/>
  <c r="M91" i="2"/>
  <c r="O91" i="2" s="1"/>
  <c r="M83" i="2"/>
  <c r="O83" i="2" s="1"/>
  <c r="M76" i="2"/>
  <c r="O76" i="2" s="1"/>
  <c r="P76" i="2" s="1"/>
  <c r="Q76" i="2" s="1"/>
  <c r="M56" i="2"/>
  <c r="O56" i="2" s="1"/>
  <c r="M49" i="2"/>
  <c r="O49" i="2" s="1"/>
  <c r="P49" i="2" s="1"/>
  <c r="Q49" i="2" s="1"/>
  <c r="M35" i="2"/>
  <c r="O35" i="2" s="1"/>
  <c r="P35" i="2" s="1"/>
  <c r="M27" i="2"/>
  <c r="O27" i="2" s="1"/>
  <c r="P27" i="2" s="1"/>
  <c r="M22" i="2"/>
  <c r="O22" i="2" s="1"/>
  <c r="P22" i="2" s="1"/>
  <c r="Q22" i="2" s="1"/>
  <c r="M16" i="2"/>
  <c r="O16" i="2" s="1"/>
  <c r="P16" i="2" s="1"/>
  <c r="Q16" i="2" s="1"/>
  <c r="M10" i="2"/>
  <c r="O10" i="2" s="1"/>
  <c r="P10" i="2" s="1"/>
  <c r="Q10" i="2" s="1"/>
  <c r="M6" i="2"/>
  <c r="O6" i="2" s="1"/>
  <c r="P6" i="2" s="1"/>
  <c r="Q6" i="2" s="1"/>
  <c r="M289" i="2"/>
  <c r="O289" i="2" s="1"/>
  <c r="P289" i="2" s="1"/>
  <c r="M281" i="2"/>
  <c r="O281" i="2" s="1"/>
  <c r="P281" i="2" s="1"/>
  <c r="M274" i="2"/>
  <c r="O274" i="2" s="1"/>
  <c r="M268" i="2"/>
  <c r="O268" i="2" s="1"/>
  <c r="P268" i="2" s="1"/>
  <c r="Q268" i="2" s="1"/>
  <c r="M262" i="2"/>
  <c r="O262" i="2" s="1"/>
  <c r="M256" i="2"/>
  <c r="O256" i="2" s="1"/>
  <c r="P256" i="2" s="1"/>
  <c r="M239" i="2"/>
  <c r="O239" i="2" s="1"/>
  <c r="M231" i="2"/>
  <c r="O231" i="2" s="1"/>
  <c r="M218" i="2"/>
  <c r="O218" i="2" s="1"/>
  <c r="P218" i="2" s="1"/>
  <c r="M210" i="2"/>
  <c r="O210" i="2" s="1"/>
  <c r="P210" i="2" s="1"/>
  <c r="M203" i="2"/>
  <c r="O203" i="2" s="1"/>
  <c r="M195" i="2"/>
  <c r="O195" i="2" s="1"/>
  <c r="M187" i="2"/>
  <c r="O187" i="2" s="1"/>
  <c r="P187" i="2" s="1"/>
  <c r="M181" i="2"/>
  <c r="O181" i="2" s="1"/>
  <c r="P181" i="2" s="1"/>
  <c r="M174" i="2"/>
  <c r="O174" i="2" s="1"/>
  <c r="M159" i="2"/>
  <c r="O159" i="2" s="1"/>
  <c r="P159" i="2" s="1"/>
  <c r="M152" i="2"/>
  <c r="O152" i="2" s="1"/>
  <c r="M144" i="2"/>
  <c r="O144" i="2" s="1"/>
  <c r="M136" i="2"/>
  <c r="O136" i="2" s="1"/>
  <c r="P136" i="2" s="1"/>
  <c r="M130" i="2"/>
  <c r="O130" i="2" s="1"/>
  <c r="M119" i="2"/>
  <c r="O119" i="2" s="1"/>
  <c r="M114" i="2"/>
  <c r="O114" i="2" s="1"/>
  <c r="P114" i="2" s="1"/>
  <c r="Q114" i="2" s="1"/>
  <c r="M109" i="2"/>
  <c r="O109" i="2" s="1"/>
  <c r="M102" i="2"/>
  <c r="O102" i="2" s="1"/>
  <c r="P102" i="2" s="1"/>
  <c r="M95" i="2"/>
  <c r="O95" i="2" s="1"/>
  <c r="P95" i="2" s="1"/>
  <c r="M87" i="2"/>
  <c r="O87" i="2" s="1"/>
  <c r="P87" i="2" s="1"/>
  <c r="Q87" i="2" s="1"/>
  <c r="M79" i="2"/>
  <c r="O79" i="2" s="1"/>
  <c r="M72" i="2"/>
  <c r="O72" i="2" s="1"/>
  <c r="M66" i="2"/>
  <c r="O66" i="2" s="1"/>
  <c r="M59" i="2"/>
  <c r="O59" i="2" s="1"/>
  <c r="P59" i="2" s="1"/>
  <c r="Q59" i="2" s="1"/>
  <c r="M53" i="2"/>
  <c r="O53" i="2" s="1"/>
  <c r="M46" i="2"/>
  <c r="O46" i="2" s="1"/>
  <c r="P46" i="2" s="1"/>
  <c r="M39" i="2"/>
  <c r="O39" i="2" s="1"/>
  <c r="P39" i="2" s="1"/>
  <c r="M31" i="2"/>
  <c r="O31" i="2" s="1"/>
  <c r="M23" i="2"/>
  <c r="O23" i="2" s="1"/>
  <c r="P23" i="2" s="1"/>
  <c r="M19" i="2"/>
  <c r="O19" i="2" s="1"/>
  <c r="M12" i="2"/>
  <c r="O12" i="2" s="1"/>
  <c r="P12" i="2" s="1"/>
  <c r="Q12" i="2" s="1"/>
  <c r="M8" i="2"/>
  <c r="O8" i="2" s="1"/>
  <c r="M4" i="2"/>
  <c r="O4" i="2" s="1"/>
  <c r="P4" i="2" s="1"/>
  <c r="Q4" i="2" s="1"/>
  <c r="B2" i="7" l="1"/>
  <c r="B2" i="6"/>
  <c r="B2" i="8"/>
  <c r="O43" i="2"/>
  <c r="P43" i="2" s="1"/>
  <c r="Q43" i="2" s="1"/>
  <c r="E7" i="1"/>
  <c r="Q161" i="2"/>
  <c r="Q135" i="2"/>
  <c r="Q150" i="2"/>
  <c r="Q34" i="2"/>
  <c r="Q226" i="2"/>
  <c r="Q116" i="2"/>
  <c r="Q276" i="2"/>
  <c r="Q232" i="2"/>
  <c r="Q180" i="2"/>
  <c r="Q206" i="2"/>
  <c r="Q246" i="2"/>
  <c r="Q64" i="2"/>
  <c r="Q81" i="2"/>
  <c r="Q58" i="2"/>
  <c r="Q157" i="2"/>
  <c r="Q68" i="2"/>
  <c r="Q27" i="2"/>
  <c r="Q172" i="2"/>
  <c r="Q194" i="2"/>
  <c r="Q21" i="2"/>
  <c r="Q263" i="2"/>
  <c r="Q208" i="2"/>
  <c r="Q164" i="2"/>
  <c r="Q225" i="2"/>
  <c r="P227" i="2"/>
  <c r="Q227" i="2" s="1"/>
  <c r="P11" i="2"/>
  <c r="Q11" i="2" s="1"/>
  <c r="Q46" i="2"/>
  <c r="Q126" i="2"/>
  <c r="Q207" i="2"/>
  <c r="Q285" i="2"/>
  <c r="P56" i="2"/>
  <c r="Q56" i="2" s="1"/>
  <c r="P223" i="2"/>
  <c r="Q223" i="2" s="1"/>
  <c r="P37" i="2"/>
  <c r="Q37" i="2" s="1"/>
  <c r="P26" i="2"/>
  <c r="Q26" i="2" s="1"/>
  <c r="P36" i="2"/>
  <c r="Q36" i="2" s="1"/>
  <c r="P124" i="2"/>
  <c r="Q124" i="2" s="1"/>
  <c r="P103" i="2"/>
  <c r="Q103" i="2" s="1"/>
  <c r="P123" i="2"/>
  <c r="Q123" i="2" s="1"/>
  <c r="P57" i="2"/>
  <c r="Q57" i="2" s="1"/>
  <c r="P70" i="2"/>
  <c r="Q70" i="2" s="1"/>
  <c r="P90" i="2"/>
  <c r="Q90" i="2" s="1"/>
  <c r="P234" i="2"/>
  <c r="Q234" i="2" s="1"/>
  <c r="P280" i="2"/>
  <c r="Q280" i="2" s="1"/>
  <c r="P176" i="2"/>
  <c r="Q176" i="2" s="1"/>
  <c r="P112" i="2"/>
  <c r="Q112" i="2" s="1"/>
  <c r="P228" i="2"/>
  <c r="Q228" i="2" s="1"/>
  <c r="P155" i="2"/>
  <c r="Q155" i="2" s="1"/>
  <c r="P201" i="2"/>
  <c r="Q201" i="2" s="1"/>
  <c r="P158" i="2"/>
  <c r="Q158" i="2" s="1"/>
  <c r="P74" i="2"/>
  <c r="Q74" i="2" s="1"/>
  <c r="P25" i="2"/>
  <c r="Q25" i="2" s="1"/>
  <c r="P17" i="2"/>
  <c r="Q17" i="2" s="1"/>
  <c r="P153" i="2"/>
  <c r="Q153" i="2" s="1"/>
  <c r="P69" i="2"/>
  <c r="Q69" i="2" s="1"/>
  <c r="P98" i="2"/>
  <c r="Q98" i="2" s="1"/>
  <c r="P139" i="2"/>
  <c r="Q139" i="2" s="1"/>
  <c r="P104" i="2"/>
  <c r="Q104" i="2" s="1"/>
  <c r="P5" i="2"/>
  <c r="Q5" i="2" s="1"/>
  <c r="P54" i="2"/>
  <c r="Q54" i="2" s="1"/>
  <c r="Q156" i="2"/>
  <c r="Q186" i="2"/>
  <c r="Q247" i="2"/>
  <c r="Q108" i="2"/>
  <c r="Q3" i="2"/>
  <c r="P66" i="2"/>
  <c r="Q66" i="2" s="1"/>
  <c r="P203" i="2"/>
  <c r="Q203" i="2" s="1"/>
  <c r="P277" i="2"/>
  <c r="Q277" i="2" s="1"/>
  <c r="P274" i="2"/>
  <c r="Q274" i="2" s="1"/>
  <c r="P130" i="2"/>
  <c r="Q130" i="2" s="1"/>
  <c r="P262" i="2"/>
  <c r="Q262" i="2" s="1"/>
  <c r="P222" i="2"/>
  <c r="Q222" i="2" s="1"/>
  <c r="P138" i="2"/>
  <c r="Q138" i="2" s="1"/>
  <c r="Q256" i="2"/>
  <c r="Q214" i="2"/>
  <c r="Q281" i="2"/>
  <c r="Q82" i="2"/>
  <c r="P174" i="2"/>
  <c r="Q174" i="2" s="1"/>
  <c r="P231" i="2"/>
  <c r="Q231" i="2" s="1"/>
  <c r="P215" i="2"/>
  <c r="Q215" i="2" s="1"/>
  <c r="P287" i="2"/>
  <c r="Q287" i="2" s="1"/>
  <c r="P146" i="2"/>
  <c r="Q146" i="2" s="1"/>
  <c r="P41" i="2"/>
  <c r="Q41" i="2" s="1"/>
  <c r="Q113" i="2"/>
  <c r="P185" i="2"/>
  <c r="Q185" i="2" s="1"/>
  <c r="P252" i="2"/>
  <c r="Q252" i="2" s="1"/>
  <c r="P236" i="2"/>
  <c r="Q236" i="2" s="1"/>
  <c r="P290" i="2"/>
  <c r="Q290" i="2" s="1"/>
  <c r="P142" i="2"/>
  <c r="Q142" i="2" s="1"/>
  <c r="Q279" i="2"/>
  <c r="Q47" i="2"/>
  <c r="Q202" i="2"/>
  <c r="Q181" i="2"/>
  <c r="Q62" i="2"/>
  <c r="Q128" i="2"/>
  <c r="Q102" i="2"/>
  <c r="Q210" i="2"/>
  <c r="Q170" i="2"/>
  <c r="P137" i="2"/>
  <c r="Q137" i="2" s="1"/>
  <c r="Q160" i="2"/>
  <c r="P198" i="2"/>
  <c r="Q198" i="2" s="1"/>
  <c r="P111" i="2"/>
  <c r="Q111" i="2" s="1"/>
  <c r="P18" i="2"/>
  <c r="Q18" i="2" s="1"/>
  <c r="Q93" i="2"/>
  <c r="P291" i="2"/>
  <c r="Q291" i="2" s="1"/>
  <c r="Q241" i="2"/>
  <c r="Q85" i="2"/>
  <c r="Q122" i="2"/>
  <c r="Q9" i="2"/>
  <c r="Q173" i="2"/>
  <c r="P8" i="2"/>
  <c r="Q8" i="2" s="1"/>
  <c r="P235" i="2"/>
  <c r="Q235" i="2" s="1"/>
  <c r="P120" i="2"/>
  <c r="Q120" i="2" s="1"/>
  <c r="Q121" i="2"/>
  <c r="P119" i="2"/>
  <c r="Q119" i="2" s="1"/>
  <c r="Q143" i="2"/>
  <c r="Q187" i="2"/>
  <c r="Q14" i="2"/>
  <c r="P79" i="2"/>
  <c r="Q79" i="2" s="1"/>
  <c r="P239" i="2"/>
  <c r="Q239" i="2" s="1"/>
  <c r="P83" i="2"/>
  <c r="Q83" i="2" s="1"/>
  <c r="P99" i="2"/>
  <c r="Q99" i="2" s="1"/>
  <c r="Q117" i="2"/>
  <c r="P133" i="2"/>
  <c r="Q133" i="2" s="1"/>
  <c r="Q199" i="2"/>
  <c r="P24" i="2"/>
  <c r="Q24" i="2" s="1"/>
  <c r="Q40" i="2"/>
  <c r="Q73" i="2"/>
  <c r="P88" i="2"/>
  <c r="Q88" i="2" s="1"/>
  <c r="P171" i="2"/>
  <c r="Q171" i="2" s="1"/>
  <c r="P188" i="2"/>
  <c r="Q188" i="2" s="1"/>
  <c r="Q286" i="2"/>
  <c r="P184" i="2"/>
  <c r="Q184" i="2" s="1"/>
  <c r="P190" i="2"/>
  <c r="Q190" i="2" s="1"/>
  <c r="Q273" i="2"/>
  <c r="Q264" i="2"/>
  <c r="P154" i="2"/>
  <c r="Q154" i="2" s="1"/>
  <c r="Q257" i="2"/>
  <c r="P97" i="2"/>
  <c r="Q97" i="2" s="1"/>
  <c r="P267" i="2"/>
  <c r="Q267" i="2" s="1"/>
  <c r="P144" i="2"/>
  <c r="Q144" i="2" s="1"/>
  <c r="P63" i="2"/>
  <c r="Q63" i="2" s="1"/>
  <c r="P270" i="2"/>
  <c r="Q270" i="2" s="1"/>
  <c r="P269" i="2"/>
  <c r="Q269" i="2" s="1"/>
  <c r="Q296" i="2"/>
  <c r="Q289" i="2"/>
  <c r="Q96" i="2"/>
  <c r="Q230" i="2"/>
  <c r="Q151" i="2"/>
  <c r="Q23" i="2"/>
  <c r="Q136" i="2"/>
  <c r="P152" i="2"/>
  <c r="Q152" i="2" s="1"/>
  <c r="P195" i="2"/>
  <c r="Q195" i="2" s="1"/>
  <c r="P140" i="2"/>
  <c r="Q140" i="2" s="1"/>
  <c r="Q191" i="2"/>
  <c r="P271" i="2"/>
  <c r="Q271" i="2" s="1"/>
  <c r="Q293" i="2"/>
  <c r="Q28" i="2"/>
  <c r="P50" i="2"/>
  <c r="Q50" i="2" s="1"/>
  <c r="Q118" i="2"/>
  <c r="P182" i="2"/>
  <c r="Q182" i="2" s="1"/>
  <c r="Q253" i="2"/>
  <c r="P65" i="2"/>
  <c r="Q65" i="2" s="1"/>
  <c r="P71" i="2"/>
  <c r="Q71" i="2" s="1"/>
  <c r="Q86" i="2"/>
  <c r="P105" i="2"/>
  <c r="Q105" i="2" s="1"/>
  <c r="Q147" i="2"/>
  <c r="Q209" i="2"/>
  <c r="Q217" i="2"/>
  <c r="P255" i="2"/>
  <c r="Q255" i="2" s="1"/>
  <c r="P33" i="2"/>
  <c r="Q33" i="2" s="1"/>
  <c r="P283" i="2"/>
  <c r="Q283" i="2" s="1"/>
  <c r="Q220" i="2"/>
  <c r="Q132" i="2"/>
  <c r="P51" i="2"/>
  <c r="Q51" i="2" s="1"/>
  <c r="P193" i="2"/>
  <c r="Q193" i="2" s="1"/>
  <c r="P216" i="2"/>
  <c r="Q216" i="2" s="1"/>
  <c r="Q95" i="2"/>
  <c r="P200" i="2"/>
  <c r="Q200" i="2" s="1"/>
  <c r="P42" i="2"/>
  <c r="Q42" i="2" s="1"/>
  <c r="P213" i="2"/>
  <c r="Q213" i="2" s="1"/>
  <c r="Q212" i="2"/>
  <c r="Q275" i="2"/>
  <c r="P52" i="2"/>
  <c r="Q52" i="2" s="1"/>
  <c r="Q13" i="2"/>
  <c r="P109" i="2"/>
  <c r="Q109" i="2" s="1"/>
  <c r="Q179" i="2"/>
  <c r="P19" i="2"/>
  <c r="Q19" i="2" s="1"/>
  <c r="P31" i="2"/>
  <c r="Q31" i="2" s="1"/>
  <c r="P53" i="2"/>
  <c r="Q53" i="2" s="1"/>
  <c r="P72" i="2"/>
  <c r="Q72" i="2" s="1"/>
  <c r="Q218" i="2"/>
  <c r="P91" i="2"/>
  <c r="Q91" i="2" s="1"/>
  <c r="Q259" i="2"/>
  <c r="P60" i="2"/>
  <c r="Q60" i="2" s="1"/>
  <c r="P77" i="2"/>
  <c r="Q77" i="2" s="1"/>
  <c r="P84" i="2"/>
  <c r="Q84" i="2" s="1"/>
  <c r="Q229" i="2"/>
  <c r="P282" i="2"/>
  <c r="Q282" i="2" s="1"/>
  <c r="Q94" i="2"/>
  <c r="P166" i="2"/>
  <c r="Q166" i="2" s="1"/>
  <c r="P221" i="2"/>
  <c r="Q221" i="2" s="1"/>
  <c r="P242" i="2"/>
  <c r="Q242" i="2" s="1"/>
  <c r="Q261" i="2"/>
  <c r="P115" i="2"/>
  <c r="Q115" i="2" s="1"/>
  <c r="P245" i="2"/>
  <c r="Q245" i="2" s="1"/>
  <c r="P101" i="2"/>
  <c r="Q101" i="2" s="1"/>
  <c r="P249" i="2"/>
  <c r="Q249" i="2" s="1"/>
  <c r="Q266" i="2"/>
  <c r="Q92" i="2"/>
  <c r="Q148" i="2"/>
  <c r="Q168" i="2"/>
  <c r="Q38" i="2"/>
  <c r="Q295" i="2"/>
  <c r="Q159" i="2"/>
  <c r="Q39" i="2"/>
  <c r="Q167" i="2"/>
  <c r="Q35" i="2"/>
  <c r="Q7" i="2"/>
  <c r="Q163" i="2"/>
  <c r="Q45" i="2"/>
  <c r="Q244" i="2"/>
  <c r="Q129" i="2"/>
  <c r="Q78" i="2"/>
  <c r="A8" i="1" l="1"/>
  <c r="A6" i="1"/>
  <c r="L65" i="2" l="1"/>
  <c r="C65" i="2" s="1"/>
  <c r="L71" i="2" l="1"/>
  <c r="C71" i="2" s="1"/>
  <c r="L147" i="2"/>
  <c r="C147" i="2" s="1"/>
  <c r="L55" i="2"/>
  <c r="C55" i="2" s="1"/>
  <c r="L166" i="2"/>
  <c r="C166" i="2" s="1"/>
  <c r="L135" i="2"/>
  <c r="C135" i="2" s="1"/>
  <c r="L239" i="2"/>
  <c r="C239" i="2" s="1"/>
  <c r="L53" i="2"/>
  <c r="C53" i="2" s="1"/>
  <c r="L64" i="2"/>
  <c r="C64" i="2" s="1"/>
  <c r="L59" i="2"/>
  <c r="C59" i="2" s="1"/>
  <c r="L152" i="2"/>
  <c r="C152" i="2" s="1"/>
  <c r="L208" i="2"/>
  <c r="C208" i="2" s="1"/>
  <c r="L103" i="2"/>
  <c r="C103" i="2" s="1"/>
  <c r="L106" i="2"/>
  <c r="C106" i="2" s="1"/>
  <c r="L98" i="2"/>
  <c r="C98" i="2" s="1"/>
  <c r="L260" i="2"/>
  <c r="C260" i="2" s="1"/>
  <c r="L195" i="2"/>
  <c r="C195" i="2" s="1"/>
  <c r="L67" i="2"/>
  <c r="C67" i="2" s="1"/>
  <c r="L274" i="2"/>
  <c r="C274" i="2" s="1"/>
  <c r="L72" i="2"/>
  <c r="C72" i="2" s="1"/>
  <c r="L180" i="2"/>
  <c r="C180" i="2" s="1"/>
  <c r="L218" i="2"/>
  <c r="C218" i="2" s="1"/>
  <c r="L102" i="2"/>
  <c r="C102" i="2" s="1"/>
  <c r="L210" i="2"/>
  <c r="C210" i="2" s="1"/>
  <c r="L116" i="2"/>
  <c r="C116" i="2" s="1"/>
  <c r="L177" i="2"/>
  <c r="C177" i="2" s="1"/>
  <c r="L68" i="2"/>
  <c r="C68" i="2" s="1"/>
  <c r="L21" i="2"/>
  <c r="C21" i="2" s="1"/>
  <c r="L212" i="2"/>
  <c r="C212" i="2" s="1"/>
  <c r="L36" i="2"/>
  <c r="C36" i="2" s="1"/>
  <c r="L234" i="2"/>
  <c r="C234" i="2" s="1"/>
  <c r="L189" i="2"/>
  <c r="C189" i="2" s="1"/>
  <c r="L56" i="2"/>
  <c r="C56" i="2" s="1"/>
  <c r="L77" i="2"/>
  <c r="C77" i="2" s="1"/>
  <c r="L8" i="2"/>
  <c r="C8" i="2" s="1"/>
  <c r="L202" i="2"/>
  <c r="C202" i="2" s="1"/>
  <c r="L31" i="2"/>
  <c r="C31" i="2" s="1"/>
  <c r="L170" i="2"/>
  <c r="C170" i="2" s="1"/>
  <c r="L111" i="2"/>
  <c r="C111" i="2" s="1"/>
  <c r="L233" i="2"/>
  <c r="C233" i="2" s="1"/>
  <c r="L221" i="2"/>
  <c r="C221" i="2" s="1"/>
  <c r="L20" i="2"/>
  <c r="C20" i="2" s="1"/>
  <c r="L194" i="2"/>
  <c r="C194" i="2" s="1"/>
  <c r="L236" i="2"/>
  <c r="C236" i="2" s="1"/>
  <c r="L154" i="2"/>
  <c r="C154" i="2" s="1"/>
  <c r="L259" i="2"/>
  <c r="C259" i="2" s="1"/>
  <c r="L237" i="2"/>
  <c r="C237" i="2" s="1"/>
  <c r="L231" i="2"/>
  <c r="C231" i="2" s="1"/>
  <c r="L150" i="2"/>
  <c r="C150" i="2" s="1"/>
  <c r="L277" i="2"/>
  <c r="C277" i="2" s="1"/>
  <c r="L265" i="2"/>
  <c r="C265" i="2" s="1"/>
  <c r="L35" i="2"/>
  <c r="C35" i="2" s="1"/>
  <c r="L258" i="2"/>
  <c r="C258" i="2" s="1"/>
  <c r="L175" i="2"/>
  <c r="C175" i="2" s="1"/>
  <c r="L252" i="2"/>
  <c r="C252" i="2" s="1"/>
  <c r="L296" i="2"/>
  <c r="C296" i="2" s="1"/>
  <c r="L257" i="2"/>
  <c r="C257" i="2" s="1"/>
  <c r="L211" i="2"/>
  <c r="C211" i="2" s="1"/>
  <c r="L89" i="2"/>
  <c r="C89" i="2" s="1"/>
  <c r="L84" i="2"/>
  <c r="C84" i="2" s="1"/>
  <c r="L227" i="2"/>
  <c r="C227" i="2" s="1"/>
  <c r="L17" i="2"/>
  <c r="C17" i="2" s="1"/>
  <c r="L230" i="2"/>
  <c r="C230" i="2" s="1"/>
  <c r="L109" i="2"/>
  <c r="C109" i="2" s="1"/>
  <c r="L290" i="2"/>
  <c r="C290" i="2" s="1"/>
  <c r="L145" i="2"/>
  <c r="C145" i="2" s="1"/>
  <c r="L213" i="2"/>
  <c r="C213" i="2" s="1"/>
  <c r="L192" i="2"/>
  <c r="C192" i="2" s="1"/>
  <c r="L85" i="2"/>
  <c r="C85" i="2" s="1"/>
  <c r="L29" i="2"/>
  <c r="C29" i="2" s="1"/>
  <c r="L110" i="2"/>
  <c r="C110" i="2" s="1"/>
  <c r="L134" i="2"/>
  <c r="C134" i="2" s="1"/>
  <c r="L162" i="2"/>
  <c r="C162" i="2" s="1"/>
  <c r="L73" i="2"/>
  <c r="C73" i="2" s="1"/>
  <c r="L15" i="2"/>
  <c r="C15" i="2" s="1"/>
  <c r="L96" i="2"/>
  <c r="C96" i="2" s="1"/>
  <c r="L181" i="2"/>
  <c r="C181" i="2" s="1"/>
  <c r="L27" i="2"/>
  <c r="C27" i="2" s="1"/>
  <c r="L125" i="2"/>
  <c r="C125" i="2" s="1"/>
  <c r="L61" i="2"/>
  <c r="C61" i="2" s="1"/>
  <c r="L219" i="2"/>
  <c r="C219" i="2" s="1"/>
  <c r="L52" i="2"/>
  <c r="C52" i="2" s="1"/>
  <c r="L141" i="2"/>
  <c r="C141" i="2" s="1"/>
  <c r="L63" i="2"/>
  <c r="C63" i="2" s="1"/>
  <c r="L263" i="2"/>
  <c r="C263" i="2" s="1"/>
  <c r="L114" i="2"/>
  <c r="C114" i="2" s="1"/>
  <c r="L249" i="2"/>
  <c r="C249" i="2" s="1"/>
  <c r="L198" i="2"/>
  <c r="C198" i="2" s="1"/>
  <c r="L178" i="2"/>
  <c r="C178" i="2" s="1"/>
  <c r="L205" i="2"/>
  <c r="C205" i="2" s="1"/>
  <c r="L171" i="2"/>
  <c r="C171" i="2" s="1"/>
  <c r="L78" i="2"/>
  <c r="C78" i="2" s="1"/>
  <c r="L37" i="2"/>
  <c r="C37" i="2" s="1"/>
  <c r="L291" i="2"/>
  <c r="C291" i="2" s="1"/>
  <c r="L43" i="2"/>
  <c r="C43" i="2" s="1"/>
  <c r="E13" i="1" s="1"/>
  <c r="L128" i="2"/>
  <c r="C128" i="2" s="1"/>
  <c r="L215" i="2"/>
  <c r="C215" i="2" s="1"/>
  <c r="L294" i="2"/>
  <c r="C294" i="2" s="1"/>
  <c r="L60" i="2"/>
  <c r="C60" i="2" s="1"/>
  <c r="L235" i="2"/>
  <c r="C235" i="2" s="1"/>
  <c r="L266" i="2"/>
  <c r="C266" i="2" s="1"/>
  <c r="L122" i="2"/>
  <c r="C122" i="2" s="1"/>
  <c r="L142" i="2"/>
  <c r="C142" i="2" s="1"/>
  <c r="L108" i="2"/>
  <c r="C108" i="2" s="1"/>
  <c r="L74" i="2"/>
  <c r="C74" i="2" s="1"/>
  <c r="L197" i="2"/>
  <c r="C197" i="2" s="1"/>
  <c r="L238" i="2"/>
  <c r="C238" i="2" s="1"/>
  <c r="L191" i="2"/>
  <c r="C191" i="2" s="1"/>
  <c r="L193" i="2"/>
  <c r="C193" i="2" s="1"/>
  <c r="L80" i="2"/>
  <c r="C80" i="2" s="1"/>
  <c r="L196" i="2"/>
  <c r="C196" i="2" s="1"/>
  <c r="L280" i="2"/>
  <c r="C280" i="2" s="1"/>
  <c r="L133" i="2"/>
  <c r="C133" i="2" s="1"/>
  <c r="L28" i="2"/>
  <c r="C28" i="2" s="1"/>
  <c r="L190" i="2"/>
  <c r="C190" i="2" s="1"/>
  <c r="L24" i="2"/>
  <c r="C24" i="2" s="1"/>
  <c r="L124" i="2"/>
  <c r="C124" i="2" s="1"/>
  <c r="L185" i="2"/>
  <c r="C185" i="2" s="1"/>
  <c r="L183" i="2"/>
  <c r="C183" i="2" s="1"/>
  <c r="L83" i="2"/>
  <c r="C83" i="2" s="1"/>
  <c r="L88" i="2"/>
  <c r="C88" i="2" s="1"/>
  <c r="L184" i="2"/>
  <c r="C184" i="2" s="1"/>
  <c r="L138" i="2"/>
  <c r="C138" i="2" s="1"/>
  <c r="L151" i="2"/>
  <c r="C151" i="2" s="1"/>
  <c r="L250" i="2"/>
  <c r="C250" i="2" s="1"/>
  <c r="L119" i="2"/>
  <c r="C119" i="2" s="1"/>
  <c r="L232" i="2"/>
  <c r="C232" i="2" s="1"/>
  <c r="L13" i="2"/>
  <c r="C13" i="2" s="1"/>
  <c r="L105" i="2"/>
  <c r="C105" i="2" s="1"/>
  <c r="L242" i="2"/>
  <c r="C242" i="2" s="1"/>
  <c r="L18" i="2"/>
  <c r="C18" i="2" s="1"/>
  <c r="L39" i="2"/>
  <c r="C39" i="2" s="1"/>
  <c r="L214" i="2"/>
  <c r="C214" i="2" s="1"/>
  <c r="L244" i="2"/>
  <c r="C244" i="2" s="1"/>
  <c r="L127" i="2"/>
  <c r="C127" i="2" s="1"/>
  <c r="L143" i="2"/>
  <c r="C143" i="2" s="1"/>
  <c r="L139" i="2"/>
  <c r="C139" i="2" s="1"/>
  <c r="L199" i="2"/>
  <c r="C199" i="2" s="1"/>
  <c r="L158" i="2"/>
  <c r="C158" i="2" s="1"/>
  <c r="L172" i="2"/>
  <c r="C172" i="2" s="1"/>
  <c r="L57" i="2"/>
  <c r="C57" i="2" s="1"/>
  <c r="L12" i="2"/>
  <c r="C12" i="2" s="1"/>
  <c r="L7" i="2"/>
  <c r="C7" i="2" s="1"/>
  <c r="L186" i="2"/>
  <c r="C186" i="2" s="1"/>
  <c r="L201" i="2"/>
  <c r="C201" i="2" s="1"/>
  <c r="L223" i="2"/>
  <c r="C223" i="2" s="1"/>
  <c r="L241" i="2"/>
  <c r="C241" i="2" s="1"/>
  <c r="L240" i="2"/>
  <c r="C240" i="2" s="1"/>
  <c r="L66" i="2"/>
  <c r="C66" i="2" s="1"/>
  <c r="L51" i="2"/>
  <c r="C51" i="2" s="1"/>
  <c r="L245" i="2"/>
  <c r="C245" i="2" s="1"/>
  <c r="L203" i="2"/>
  <c r="C203" i="2" s="1"/>
  <c r="L41" i="2"/>
  <c r="C41" i="2" s="1"/>
  <c r="L200" i="2"/>
  <c r="C200" i="2" s="1"/>
  <c r="L164" i="2"/>
  <c r="C164" i="2" s="1"/>
  <c r="L121" i="2"/>
  <c r="C121" i="2" s="1"/>
  <c r="L149" i="2"/>
  <c r="C149" i="2" s="1"/>
  <c r="L137" i="2"/>
  <c r="C137" i="2" s="1"/>
  <c r="L275" i="2"/>
  <c r="C275" i="2" s="1"/>
  <c r="L115" i="2"/>
  <c r="C115" i="2" s="1"/>
  <c r="L188" i="2"/>
  <c r="C188" i="2" s="1"/>
  <c r="L155" i="2"/>
  <c r="C155" i="2" s="1"/>
  <c r="L50" i="2"/>
  <c r="C50" i="2" s="1"/>
  <c r="L272" i="2"/>
  <c r="C272" i="2" s="1"/>
  <c r="L91" i="2"/>
  <c r="C91" i="2" s="1"/>
  <c r="L267" i="2"/>
  <c r="C267" i="2" s="1"/>
  <c r="L9" i="2"/>
  <c r="C9" i="2" s="1"/>
  <c r="L95" i="2"/>
  <c r="C95" i="2" s="1"/>
  <c r="L160" i="2"/>
  <c r="C160" i="2" s="1"/>
  <c r="L220" i="2"/>
  <c r="C220" i="2" s="1"/>
  <c r="L132" i="2"/>
  <c r="C132" i="2" s="1"/>
  <c r="L187" i="2"/>
  <c r="C187" i="2" s="1"/>
  <c r="L62" i="2"/>
  <c r="C62" i="2" s="1"/>
  <c r="L123" i="2"/>
  <c r="C123" i="2" s="1"/>
  <c r="L129" i="2"/>
  <c r="C129" i="2" s="1"/>
  <c r="L207" i="2"/>
  <c r="C207" i="2" s="1"/>
  <c r="L246" i="2"/>
  <c r="C246" i="2" s="1"/>
  <c r="L54" i="2"/>
  <c r="C54" i="2" s="1"/>
  <c r="L76" i="2"/>
  <c r="C76" i="2" s="1"/>
  <c r="L47" i="2"/>
  <c r="C47" i="2" s="1"/>
  <c r="L5" i="2"/>
  <c r="C5" i="2" s="1"/>
  <c r="L167" i="2"/>
  <c r="C167" i="2" s="1"/>
  <c r="L182" i="2"/>
  <c r="C182" i="2" s="1"/>
  <c r="L26" i="2"/>
  <c r="C26" i="2" s="1"/>
  <c r="L23" i="2"/>
  <c r="C23" i="2" s="1"/>
  <c r="L101" i="2"/>
  <c r="C101" i="2" s="1"/>
  <c r="L283" i="2"/>
  <c r="C283" i="2" s="1"/>
  <c r="L204" i="2"/>
  <c r="C204" i="2" s="1"/>
  <c r="L48" i="2"/>
  <c r="C48" i="2" s="1"/>
  <c r="L117" i="2"/>
  <c r="C117" i="2" s="1"/>
  <c r="L126" i="2"/>
  <c r="C126" i="2" s="1"/>
  <c r="L159" i="2"/>
  <c r="C159" i="2" s="1"/>
  <c r="L144" i="2"/>
  <c r="C144" i="2" s="1"/>
  <c r="L6" i="2"/>
  <c r="C6" i="2" s="1"/>
  <c r="L174" i="2"/>
  <c r="C174" i="2" s="1"/>
  <c r="L253" i="2"/>
  <c r="C253" i="2" s="1"/>
  <c r="L287" i="2"/>
  <c r="C287" i="2" s="1"/>
  <c r="L97" i="2"/>
  <c r="C97" i="2" s="1"/>
  <c r="L46" i="2"/>
  <c r="C46" i="2" s="1"/>
  <c r="L86" i="2"/>
  <c r="C86" i="2" s="1"/>
  <c r="L99" i="2"/>
  <c r="C99" i="2" s="1"/>
  <c r="L82" i="2"/>
  <c r="C82" i="2" s="1"/>
  <c r="L209" i="2"/>
  <c r="C209" i="2" s="1"/>
  <c r="L206" i="2"/>
  <c r="C206" i="2" s="1"/>
  <c r="L4" i="2"/>
  <c r="C4" i="2" s="1"/>
  <c r="L11" i="2"/>
  <c r="C11" i="2" s="1"/>
  <c r="L130" i="2"/>
  <c r="C130" i="2" s="1"/>
  <c r="L216" i="2"/>
  <c r="C216" i="2" s="1"/>
  <c r="L168" i="2"/>
  <c r="C168" i="2" s="1"/>
  <c r="L70" i="2"/>
  <c r="C70" i="2" s="1"/>
  <c r="L104" i="2"/>
  <c r="C104" i="2" s="1"/>
  <c r="L19" i="2"/>
  <c r="C19" i="2" s="1"/>
  <c r="L225" i="2"/>
  <c r="C225" i="2" s="1"/>
  <c r="L131" i="2"/>
  <c r="C131" i="2" s="1"/>
  <c r="L25" i="2"/>
  <c r="C25" i="2" s="1"/>
  <c r="L173" i="2"/>
  <c r="C173" i="2" s="1"/>
  <c r="L153" i="2"/>
  <c r="C153" i="2" s="1"/>
  <c r="L32" i="2"/>
  <c r="C32" i="2" s="1"/>
  <c r="L22" i="2"/>
  <c r="C22" i="2" s="1"/>
  <c r="L176" i="2"/>
  <c r="C176" i="2" s="1"/>
  <c r="L100" i="2"/>
  <c r="C100" i="2" s="1"/>
  <c r="L161" i="2"/>
  <c r="C161" i="2" s="1"/>
  <c r="L169" i="2"/>
  <c r="C169" i="2" s="1"/>
  <c r="L228" i="2"/>
  <c r="C228" i="2" s="1"/>
  <c r="L146" i="2"/>
  <c r="C146" i="2" s="1"/>
  <c r="L248" i="2"/>
  <c r="C248" i="2" s="1"/>
  <c r="L278" i="2"/>
  <c r="C278" i="2" s="1"/>
  <c r="L81" i="2"/>
  <c r="C81" i="2" s="1"/>
  <c r="L284" i="2"/>
  <c r="C284" i="2" s="1"/>
  <c r="L286" i="2" l="1"/>
  <c r="C286" i="2" s="1"/>
  <c r="L288" i="2"/>
  <c r="C288" i="2" s="1"/>
  <c r="L256" i="2"/>
  <c r="C256" i="2" s="1"/>
  <c r="L69" i="2"/>
  <c r="C69" i="2" s="1"/>
  <c r="L44" i="2"/>
  <c r="C44" i="2" s="1"/>
  <c r="L75" i="2"/>
  <c r="C75" i="2" s="1"/>
  <c r="L90" i="2"/>
  <c r="C90" i="2" s="1"/>
  <c r="L156" i="2"/>
  <c r="C156" i="2" s="1"/>
  <c r="L269" i="2"/>
  <c r="C269" i="2" s="1"/>
  <c r="L254" i="2"/>
  <c r="C254" i="2" s="1"/>
  <c r="L264" i="2"/>
  <c r="C264" i="2" s="1"/>
  <c r="L163" i="2"/>
  <c r="C163" i="2" s="1"/>
  <c r="L120" i="2"/>
  <c r="C120" i="2" s="1"/>
  <c r="L273" i="2"/>
  <c r="C273" i="2" s="1"/>
  <c r="L179" i="2"/>
  <c r="C179" i="2" s="1"/>
  <c r="L285" i="2"/>
  <c r="C285" i="2" s="1"/>
  <c r="L262" i="2"/>
  <c r="C262" i="2" s="1"/>
  <c r="L222" i="2"/>
  <c r="C222" i="2" s="1"/>
  <c r="L30" i="2"/>
  <c r="C30" i="2" s="1"/>
  <c r="L165" i="2"/>
  <c r="C165" i="2" s="1"/>
  <c r="L229" i="2"/>
  <c r="C229" i="2" s="1"/>
  <c r="L118" i="2"/>
  <c r="C118" i="2" s="1"/>
  <c r="L243" i="2"/>
  <c r="C243" i="2" s="1"/>
  <c r="L270" i="2"/>
  <c r="C270" i="2" s="1"/>
  <c r="L93" i="2"/>
  <c r="C93" i="2" s="1"/>
  <c r="L92" i="2"/>
  <c r="C92" i="2" s="1"/>
  <c r="L10" i="2"/>
  <c r="C10" i="2" s="1"/>
  <c r="L34" i="2"/>
  <c r="C34" i="2" s="1"/>
  <c r="L33" i="2"/>
  <c r="C33" i="2" s="1"/>
  <c r="L261" i="2"/>
  <c r="C261" i="2" s="1"/>
  <c r="L14" i="2"/>
  <c r="C14" i="2" s="1"/>
  <c r="L79" i="2"/>
  <c r="C79" i="2" s="1"/>
  <c r="L217" i="2"/>
  <c r="C217" i="2" s="1"/>
  <c r="L255" i="2"/>
  <c r="C255" i="2" s="1"/>
  <c r="L58" i="2"/>
  <c r="C58" i="2" s="1"/>
  <c r="L281" i="2"/>
  <c r="C281" i="2" s="1"/>
  <c r="L45" i="2"/>
  <c r="C45" i="2" s="1"/>
  <c r="L251" i="2"/>
  <c r="C251" i="2" s="1"/>
  <c r="L49" i="2"/>
  <c r="C49" i="2" s="1"/>
  <c r="L157" i="2"/>
  <c r="C157" i="2" s="1"/>
  <c r="L276" i="2"/>
  <c r="C276" i="2" s="1"/>
  <c r="L279" i="2"/>
  <c r="C279" i="2" s="1"/>
  <c r="L271" i="2"/>
  <c r="C271" i="2" s="1"/>
  <c r="L112" i="2"/>
  <c r="C112" i="2" s="1"/>
  <c r="L289" i="2"/>
  <c r="C289" i="2" s="1"/>
  <c r="L107" i="2"/>
  <c r="C107" i="2" s="1"/>
  <c r="L295" i="2"/>
  <c r="C295" i="2" s="1"/>
  <c r="L292" i="2"/>
  <c r="C292" i="2" s="1"/>
  <c r="L136" i="2"/>
  <c r="C136" i="2" s="1"/>
  <c r="L140" i="2"/>
  <c r="C140" i="2" s="1"/>
  <c r="L42" i="2"/>
  <c r="C42" i="2" s="1"/>
  <c r="L148" i="2"/>
  <c r="C148" i="2" s="1"/>
  <c r="L113" i="2"/>
  <c r="C113" i="2" s="1"/>
  <c r="L247" i="2"/>
  <c r="C247" i="2" s="1"/>
  <c r="L38" i="2"/>
  <c r="C38" i="2" s="1"/>
  <c r="L224" i="2"/>
  <c r="C224" i="2" s="1"/>
  <c r="L94" i="2"/>
  <c r="C94" i="2" s="1"/>
  <c r="L293" i="2"/>
  <c r="C293" i="2" s="1"/>
  <c r="L40" i="2"/>
  <c r="C40" i="2" s="1"/>
  <c r="L16" i="2"/>
  <c r="C16" i="2" s="1"/>
  <c r="L87" i="2"/>
  <c r="C87" i="2" s="1"/>
  <c r="L226" i="2"/>
  <c r="C226" i="2" s="1"/>
  <c r="L282" i="2"/>
  <c r="C282" i="2" s="1"/>
  <c r="L268" i="2"/>
  <c r="C268" i="2" s="1"/>
  <c r="E14" i="1"/>
  <c r="E21" i="1"/>
  <c r="F16" i="1" l="1"/>
  <c r="E20" i="1"/>
  <c r="E22" i="1" s="1"/>
  <c r="F22" i="1"/>
  <c r="A15" i="1"/>
  <c r="H16" i="1"/>
  <c r="A14" i="1"/>
  <c r="L3" i="2" l="1"/>
  <c r="C3" i="2" s="1"/>
</calcChain>
</file>

<file path=xl/sharedStrings.xml><?xml version="1.0" encoding="utf-8"?>
<sst xmlns="http://schemas.openxmlformats.org/spreadsheetml/2006/main" count="630" uniqueCount="523">
  <si>
    <t>Guidance for the completion of the Analysis of Revenue Balances form.</t>
  </si>
  <si>
    <t>THIS FORM SHOULD ONLY BE USED FOR YOUR YEAR END SUBMISSION TO SCHOOLS FINANCIAL SERVICES.</t>
  </si>
  <si>
    <r>
      <t xml:space="preserve">Enter the last four digits of you DfE number in cell </t>
    </r>
    <r>
      <rPr>
        <b/>
        <sz val="12"/>
        <rFont val="Arial"/>
        <family val="2"/>
      </rPr>
      <t>E1</t>
    </r>
    <r>
      <rPr>
        <sz val="12"/>
        <rFont val="Arial"/>
        <family val="2"/>
      </rPr>
      <t xml:space="preserve"> (the green box), your school name will be displayed.</t>
    </r>
  </si>
  <si>
    <r>
      <t xml:space="preserve">In </t>
    </r>
    <r>
      <rPr>
        <b/>
        <sz val="12"/>
        <rFont val="Arial"/>
        <family val="2"/>
      </rPr>
      <t>B</t>
    </r>
    <r>
      <rPr>
        <sz val="12"/>
        <rFont val="Arial"/>
        <family val="2"/>
      </rPr>
      <t xml:space="preserve"> (cell E6) the year end forecast you submitted as part of the </t>
    </r>
    <r>
      <rPr>
        <b/>
        <sz val="12"/>
        <rFont val="Arial"/>
        <family val="2"/>
      </rPr>
      <t>Nine Months Monitoring</t>
    </r>
    <r>
      <rPr>
        <sz val="12"/>
        <rFont val="Arial"/>
        <family val="2"/>
      </rPr>
      <t xml:space="preserve"> return will pre-populate.</t>
    </r>
  </si>
  <si>
    <r>
      <t xml:space="preserve">In </t>
    </r>
    <r>
      <rPr>
        <b/>
        <sz val="12"/>
        <rFont val="Arial"/>
        <family val="2"/>
      </rPr>
      <t>C</t>
    </r>
    <r>
      <rPr>
        <sz val="12"/>
        <rFont val="Arial"/>
        <family val="2"/>
      </rPr>
      <t xml:space="preserve"> (cell E7) the difference between your </t>
    </r>
    <r>
      <rPr>
        <b/>
        <sz val="12"/>
        <rFont val="Arial"/>
        <family val="2"/>
      </rPr>
      <t>Nine Months Monitoring</t>
    </r>
    <r>
      <rPr>
        <sz val="12"/>
        <rFont val="Arial"/>
        <family val="2"/>
      </rPr>
      <t xml:space="preserve"> year end forecast and your</t>
    </r>
    <r>
      <rPr>
        <b/>
        <sz val="12"/>
        <rFont val="Arial"/>
        <family val="2"/>
      </rPr>
      <t xml:space="preserve"> Closedown</t>
    </r>
    <r>
      <rPr>
        <sz val="12"/>
        <rFont val="Arial"/>
        <family val="2"/>
      </rPr>
      <t xml:space="preserve"> year end position will be calculated.</t>
    </r>
  </si>
  <si>
    <t>(This will always be the same as B until you complete A (cell E5))</t>
  </si>
  <si>
    <r>
      <t xml:space="preserve">In </t>
    </r>
    <r>
      <rPr>
        <b/>
        <sz val="12"/>
        <rFont val="Arial"/>
        <family val="2"/>
      </rPr>
      <t>D</t>
    </r>
    <r>
      <rPr>
        <sz val="12"/>
        <rFont val="Arial"/>
        <family val="2"/>
      </rPr>
      <t xml:space="preserve"> (cell E13) your </t>
    </r>
    <r>
      <rPr>
        <b/>
        <sz val="12"/>
        <rFont val="Arial"/>
        <family val="2"/>
      </rPr>
      <t>Budget Control Mechanism</t>
    </r>
    <r>
      <rPr>
        <sz val="12"/>
        <rFont val="Arial"/>
        <family val="2"/>
      </rPr>
      <t xml:space="preserve"> (</t>
    </r>
    <r>
      <rPr>
        <b/>
        <sz val="12"/>
        <rFont val="Arial"/>
        <family val="2"/>
      </rPr>
      <t>BCM</t>
    </r>
    <r>
      <rPr>
        <sz val="12"/>
        <rFont val="Arial"/>
        <family val="2"/>
      </rPr>
      <t xml:space="preserve">) limit based on your </t>
    </r>
    <r>
      <rPr>
        <b/>
        <sz val="12"/>
        <rFont val="Arial"/>
        <family val="2"/>
      </rPr>
      <t>March Statement of Account</t>
    </r>
    <r>
      <rPr>
        <sz val="12"/>
        <rFont val="Arial"/>
        <family val="2"/>
      </rPr>
      <t xml:space="preserve"> (</t>
    </r>
    <r>
      <rPr>
        <b/>
        <sz val="12"/>
        <rFont val="Arial"/>
        <family val="2"/>
      </rPr>
      <t>SoA</t>
    </r>
    <r>
      <rPr>
        <sz val="12"/>
        <rFont val="Arial"/>
        <family val="2"/>
      </rPr>
      <t>) is displayed.</t>
    </r>
  </si>
  <si>
    <t>The BCM is worked out by adding together your March SoA totals for CFR codes I01, I02, I03, I05 and I06.</t>
  </si>
  <si>
    <t>This total is then multiplied by the allowable threshold your school type attracts. All of this information is held in the background of this form.</t>
  </si>
  <si>
    <r>
      <t xml:space="preserve">From your </t>
    </r>
    <r>
      <rPr>
        <b/>
        <sz val="12"/>
        <rFont val="Arial"/>
        <family val="2"/>
      </rPr>
      <t>Closedown FMS Reconciliation Report</t>
    </r>
    <r>
      <rPr>
        <sz val="12"/>
        <rFont val="Arial"/>
        <family val="2"/>
      </rPr>
      <t xml:space="preserve">, enter the </t>
    </r>
    <r>
      <rPr>
        <b/>
        <sz val="12"/>
        <rFont val="Arial"/>
        <family val="2"/>
      </rPr>
      <t>Actual Revenue Current Position</t>
    </r>
    <r>
      <rPr>
        <sz val="12"/>
        <rFont val="Arial"/>
        <family val="2"/>
      </rPr>
      <t xml:space="preserve"> figure into </t>
    </r>
    <r>
      <rPr>
        <b/>
        <sz val="12"/>
        <rFont val="Arial"/>
        <family val="2"/>
      </rPr>
      <t>A</t>
    </r>
    <r>
      <rPr>
        <sz val="12"/>
        <rFont val="Arial"/>
        <family val="2"/>
      </rPr>
      <t xml:space="preserve"> (cell E5)</t>
    </r>
  </si>
  <si>
    <r>
      <t xml:space="preserve">This will normally be </t>
    </r>
    <r>
      <rPr>
        <b/>
        <sz val="12"/>
        <rFont val="Arial"/>
        <family val="2"/>
      </rPr>
      <t>Fund 01</t>
    </r>
    <r>
      <rPr>
        <sz val="12"/>
        <rFont val="Arial"/>
        <family val="2"/>
      </rPr>
      <t>, but if you have multiple funds, you will need to add these together.</t>
    </r>
    <r>
      <rPr>
        <b/>
        <sz val="12"/>
        <rFont val="Arial"/>
        <family val="2"/>
      </rPr>
      <t xml:space="preserve"> Remember Revenue Only</t>
    </r>
    <r>
      <rPr>
        <sz val="12"/>
        <rFont val="Arial"/>
        <family val="2"/>
      </rPr>
      <t>.</t>
    </r>
  </si>
  <si>
    <t>If you have a surplus balance enter the figure with a leading minus. If you enter a positive figure, a prompt will tell you "You are in Deficit".</t>
  </si>
  <si>
    <r>
      <t xml:space="preserve">If you enter the figure in </t>
    </r>
    <r>
      <rPr>
        <b/>
        <sz val="12"/>
        <rFont val="Arial"/>
        <family val="2"/>
      </rPr>
      <t>A</t>
    </r>
    <r>
      <rPr>
        <sz val="12"/>
        <rFont val="Arial"/>
        <family val="2"/>
      </rPr>
      <t xml:space="preserve"> (cell E5) with a leading minus, the box will turn red. At this stage this is expected, it means the form is not complete.</t>
    </r>
  </si>
  <si>
    <r>
      <t xml:space="preserve">In </t>
    </r>
    <r>
      <rPr>
        <b/>
        <sz val="12"/>
        <rFont val="Arial"/>
        <family val="2"/>
      </rPr>
      <t>C</t>
    </r>
    <r>
      <rPr>
        <sz val="12"/>
        <rFont val="Arial"/>
        <family val="2"/>
      </rPr>
      <t xml:space="preserve"> (cell E7) the difference between your </t>
    </r>
    <r>
      <rPr>
        <b/>
        <sz val="12"/>
        <rFont val="Arial"/>
        <family val="2"/>
      </rPr>
      <t>Nine Months Monitoring</t>
    </r>
    <r>
      <rPr>
        <sz val="12"/>
        <rFont val="Arial"/>
        <family val="2"/>
      </rPr>
      <t xml:space="preserve"> year end forecast and your</t>
    </r>
    <r>
      <rPr>
        <b/>
        <sz val="12"/>
        <rFont val="Arial"/>
        <family val="2"/>
      </rPr>
      <t xml:space="preserve"> Closedown</t>
    </r>
    <r>
      <rPr>
        <sz val="12"/>
        <rFont val="Arial"/>
        <family val="2"/>
      </rPr>
      <t xml:space="preserve"> year end position is displayed.</t>
    </r>
  </si>
  <si>
    <r>
      <t xml:space="preserve">If </t>
    </r>
    <r>
      <rPr>
        <b/>
        <sz val="12"/>
        <rFont val="Arial"/>
        <family val="2"/>
      </rPr>
      <t>Row 8</t>
    </r>
    <r>
      <rPr>
        <sz val="12"/>
        <rFont val="Arial"/>
        <family val="2"/>
      </rPr>
      <t xml:space="preserve"> turns green and </t>
    </r>
    <r>
      <rPr>
        <b/>
        <sz val="12"/>
        <rFont val="Arial"/>
        <family val="2"/>
      </rPr>
      <t xml:space="preserve">Row 9 </t>
    </r>
    <r>
      <rPr>
        <sz val="12"/>
        <rFont val="Arial"/>
        <family val="2"/>
      </rPr>
      <t xml:space="preserve">turns black, the difference between your </t>
    </r>
    <r>
      <rPr>
        <b/>
        <sz val="12"/>
        <rFont val="Arial"/>
        <family val="2"/>
      </rPr>
      <t>Nine Months Monitoring</t>
    </r>
    <r>
      <rPr>
        <sz val="12"/>
        <rFont val="Arial"/>
        <family val="2"/>
      </rPr>
      <t xml:space="preserve"> forecast and your </t>
    </r>
    <r>
      <rPr>
        <b/>
        <sz val="12"/>
        <rFont val="Arial"/>
        <family val="2"/>
      </rPr>
      <t>Closedown</t>
    </r>
    <r>
      <rPr>
        <sz val="12"/>
        <rFont val="Arial"/>
        <family val="2"/>
      </rPr>
      <t xml:space="preserve"> position is within limits.</t>
    </r>
  </si>
  <si>
    <r>
      <t xml:space="preserve">If they remain yellow and clear, you need to add a brief comment to explain the difference in </t>
    </r>
    <r>
      <rPr>
        <b/>
        <sz val="12"/>
        <rFont val="Arial"/>
        <family val="2"/>
      </rPr>
      <t>Row 9</t>
    </r>
    <r>
      <rPr>
        <sz val="12"/>
        <rFont val="Arial"/>
        <family val="2"/>
      </rPr>
      <t>.</t>
    </r>
  </si>
  <si>
    <t>Section 2</t>
  </si>
  <si>
    <t>There is no input required in this section as all cells are pre-populated.</t>
  </si>
  <si>
    <r>
      <rPr>
        <b/>
        <sz val="12"/>
        <rFont val="Arial"/>
        <family val="2"/>
      </rPr>
      <t>J</t>
    </r>
    <r>
      <rPr>
        <sz val="12"/>
        <rFont val="Arial"/>
        <family val="2"/>
      </rPr>
      <t xml:space="preserve"> (cell E20) displays the balance of the amount over the BCM limit that has not been allocated across </t>
    </r>
    <r>
      <rPr>
        <b/>
        <sz val="12"/>
        <rFont val="Arial"/>
        <family val="2"/>
      </rPr>
      <t>F</t>
    </r>
    <r>
      <rPr>
        <sz val="12"/>
        <rFont val="Arial"/>
        <family val="2"/>
      </rPr>
      <t xml:space="preserve"> to </t>
    </r>
    <r>
      <rPr>
        <b/>
        <sz val="12"/>
        <rFont val="Arial"/>
        <family val="2"/>
      </rPr>
      <t>I.</t>
    </r>
  </si>
  <si>
    <t>Please read the BCM guidance that explains the 4 allowable criteria and allocate the excess funds accordingly</t>
  </si>
  <si>
    <r>
      <t xml:space="preserve">A prompt box will appear to the right. An </t>
    </r>
    <r>
      <rPr>
        <b/>
        <sz val="12"/>
        <rFont val="Arial"/>
        <family val="2"/>
      </rPr>
      <t>amber</t>
    </r>
    <r>
      <rPr>
        <sz val="12"/>
        <rFont val="Arial"/>
        <family val="2"/>
      </rPr>
      <t xml:space="preserve"> box indicates you have not allocated enough across </t>
    </r>
    <r>
      <rPr>
        <b/>
        <sz val="12"/>
        <rFont val="Arial"/>
        <family val="2"/>
      </rPr>
      <t>F</t>
    </r>
    <r>
      <rPr>
        <sz val="12"/>
        <rFont val="Arial"/>
        <family val="2"/>
      </rPr>
      <t xml:space="preserve"> to </t>
    </r>
    <r>
      <rPr>
        <b/>
        <sz val="12"/>
        <rFont val="Arial"/>
        <family val="2"/>
      </rPr>
      <t>I</t>
    </r>
    <r>
      <rPr>
        <sz val="12"/>
        <rFont val="Arial"/>
        <family val="2"/>
      </rPr>
      <t xml:space="preserve">, a </t>
    </r>
    <r>
      <rPr>
        <b/>
        <sz val="12"/>
        <rFont val="Arial"/>
        <family val="2"/>
      </rPr>
      <t>red</t>
    </r>
    <r>
      <rPr>
        <sz val="12"/>
        <rFont val="Arial"/>
        <family val="2"/>
      </rPr>
      <t xml:space="preserve"> box indicates you have allocated too much.</t>
    </r>
  </si>
  <si>
    <r>
      <rPr>
        <b/>
        <sz val="12"/>
        <rFont val="Arial"/>
        <family val="2"/>
      </rPr>
      <t>D</t>
    </r>
    <r>
      <rPr>
        <sz val="12"/>
        <rFont val="Arial"/>
        <family val="2"/>
      </rPr>
      <t xml:space="preserve"> (cell E21) and </t>
    </r>
    <r>
      <rPr>
        <b/>
        <sz val="12"/>
        <rFont val="Arial"/>
        <family val="2"/>
      </rPr>
      <t xml:space="preserve">A </t>
    </r>
    <r>
      <rPr>
        <sz val="12"/>
        <rFont val="Arial"/>
        <family val="2"/>
      </rPr>
      <t xml:space="preserve">(cell E22) are populated from </t>
    </r>
    <r>
      <rPr>
        <b/>
        <sz val="12"/>
        <rFont val="Arial"/>
        <family val="2"/>
      </rPr>
      <t>Section 1</t>
    </r>
    <r>
      <rPr>
        <sz val="12"/>
        <rFont val="Arial"/>
        <family val="2"/>
      </rPr>
      <t xml:space="preserve"> &amp; </t>
    </r>
    <r>
      <rPr>
        <b/>
        <sz val="12"/>
        <rFont val="Arial"/>
        <family val="2"/>
      </rPr>
      <t>2</t>
    </r>
    <r>
      <rPr>
        <sz val="12"/>
        <rFont val="Arial"/>
        <family val="2"/>
      </rPr>
      <t xml:space="preserve"> above.</t>
    </r>
  </si>
  <si>
    <r>
      <t>Whichever rows you have used from (</t>
    </r>
    <r>
      <rPr>
        <b/>
        <sz val="12"/>
        <rFont val="Arial"/>
        <family val="2"/>
      </rPr>
      <t>F</t>
    </r>
    <r>
      <rPr>
        <sz val="12"/>
        <rFont val="Arial"/>
        <family val="2"/>
      </rPr>
      <t xml:space="preserve"> to </t>
    </r>
    <r>
      <rPr>
        <b/>
        <sz val="12"/>
        <rFont val="Arial"/>
        <family val="2"/>
      </rPr>
      <t>I</t>
    </r>
    <r>
      <rPr>
        <sz val="12"/>
        <rFont val="Arial"/>
        <family val="2"/>
      </rPr>
      <t xml:space="preserve">), a prompt will appear to the right indicating which sections of </t>
    </r>
    <r>
      <rPr>
        <b/>
        <sz val="12"/>
        <rFont val="Arial"/>
        <family val="2"/>
      </rPr>
      <t xml:space="preserve">Section 4 </t>
    </r>
    <r>
      <rPr>
        <sz val="12"/>
        <rFont val="Arial"/>
        <family val="2"/>
      </rPr>
      <t>below need to be completed.</t>
    </r>
  </si>
  <si>
    <r>
      <t xml:space="preserve">Once the figures entered into </t>
    </r>
    <r>
      <rPr>
        <b/>
        <sz val="12"/>
        <rFont val="Arial"/>
        <family val="2"/>
      </rPr>
      <t>Sections 4.1</t>
    </r>
    <r>
      <rPr>
        <sz val="12"/>
        <rFont val="Arial"/>
        <family val="2"/>
      </rPr>
      <t xml:space="preserve"> to </t>
    </r>
    <r>
      <rPr>
        <b/>
        <sz val="12"/>
        <rFont val="Arial"/>
        <family val="2"/>
      </rPr>
      <t>4.4</t>
    </r>
    <r>
      <rPr>
        <sz val="12"/>
        <rFont val="Arial"/>
        <family val="2"/>
      </rPr>
      <t xml:space="preserve"> equal the corresponding figures in </t>
    </r>
    <r>
      <rPr>
        <b/>
        <sz val="12"/>
        <rFont val="Arial"/>
        <family val="2"/>
      </rPr>
      <t>F</t>
    </r>
    <r>
      <rPr>
        <sz val="12"/>
        <rFont val="Arial"/>
        <family val="2"/>
      </rPr>
      <t xml:space="preserve"> to</t>
    </r>
    <r>
      <rPr>
        <b/>
        <sz val="12"/>
        <rFont val="Arial"/>
        <family val="2"/>
      </rPr>
      <t xml:space="preserve"> I</t>
    </r>
    <r>
      <rPr>
        <sz val="12"/>
        <rFont val="Arial"/>
        <family val="2"/>
      </rPr>
      <t>, the prompts will disappear.</t>
    </r>
  </si>
  <si>
    <t>The B01 to B06 references are for DfE purposes only</t>
  </si>
  <si>
    <r>
      <rPr>
        <b/>
        <sz val="12"/>
        <rFont val="Arial"/>
        <family val="2"/>
      </rPr>
      <t>J</t>
    </r>
    <r>
      <rPr>
        <sz val="12"/>
        <rFont val="Arial"/>
        <family val="2"/>
      </rPr>
      <t xml:space="preserve"> (cell E24) is populated from </t>
    </r>
    <r>
      <rPr>
        <b/>
        <sz val="12"/>
        <rFont val="Arial"/>
        <family val="2"/>
      </rPr>
      <t xml:space="preserve">section 2.1, </t>
    </r>
    <r>
      <rPr>
        <sz val="12"/>
        <rFont val="Arial"/>
        <family val="2"/>
      </rPr>
      <t>if you have not exceeded your BCM limit, this cell will be zero.</t>
    </r>
  </si>
  <si>
    <r>
      <rPr>
        <b/>
        <sz val="12"/>
        <rFont val="Arial"/>
        <family val="2"/>
      </rPr>
      <t>K</t>
    </r>
    <r>
      <rPr>
        <sz val="12"/>
        <rFont val="Arial"/>
        <family val="2"/>
      </rPr>
      <t xml:space="preserve"> (cell E25) is for your </t>
    </r>
    <r>
      <rPr>
        <b/>
        <sz val="12"/>
        <rFont val="Arial"/>
        <family val="2"/>
      </rPr>
      <t>Community Focussed</t>
    </r>
    <r>
      <rPr>
        <sz val="12"/>
        <rFont val="Arial"/>
        <family val="2"/>
      </rPr>
      <t xml:space="preserve"> balance only. This figure is taken from the </t>
    </r>
    <r>
      <rPr>
        <b/>
        <sz val="12"/>
        <rFont val="Arial"/>
        <family val="2"/>
      </rPr>
      <t>Additional Funding</t>
    </r>
    <r>
      <rPr>
        <sz val="12"/>
        <rFont val="Arial"/>
        <family val="2"/>
      </rPr>
      <t xml:space="preserve"> form, </t>
    </r>
    <r>
      <rPr>
        <b/>
        <sz val="12"/>
        <rFont val="Arial"/>
        <family val="2"/>
      </rPr>
      <t xml:space="preserve">B06 (c/f) </t>
    </r>
    <r>
      <rPr>
        <sz val="12"/>
        <rFont val="Arial"/>
        <family val="2"/>
      </rPr>
      <t>(cell G27)</t>
    </r>
  </si>
  <si>
    <r>
      <t>Alternatively this can be calculated by the following formula (</t>
    </r>
    <r>
      <rPr>
        <b/>
        <sz val="12"/>
        <rFont val="Arial"/>
        <family val="2"/>
      </rPr>
      <t xml:space="preserve">Previous years B06 rollover + I16 + I17 - E31 - E32 </t>
    </r>
    <r>
      <rPr>
        <sz val="12"/>
        <rFont val="Arial"/>
        <family val="2"/>
      </rPr>
      <t xml:space="preserve">from you </t>
    </r>
    <r>
      <rPr>
        <b/>
        <sz val="12"/>
        <rFont val="Arial"/>
        <family val="2"/>
      </rPr>
      <t>Closedown I &amp; E</t>
    </r>
    <r>
      <rPr>
        <sz val="12"/>
        <rFont val="Arial"/>
        <family val="2"/>
      </rPr>
      <t>)</t>
    </r>
  </si>
  <si>
    <r>
      <rPr>
        <b/>
        <sz val="12"/>
        <rFont val="Arial"/>
        <family val="2"/>
      </rPr>
      <t>N</t>
    </r>
    <r>
      <rPr>
        <sz val="12"/>
        <rFont val="Arial"/>
        <family val="2"/>
      </rPr>
      <t xml:space="preserve"> (cell E28) is the total of </t>
    </r>
    <r>
      <rPr>
        <b/>
        <sz val="12"/>
        <rFont val="Arial"/>
        <family val="2"/>
      </rPr>
      <t>J</t>
    </r>
    <r>
      <rPr>
        <sz val="12"/>
        <rFont val="Arial"/>
        <family val="2"/>
      </rPr>
      <t xml:space="preserve"> to </t>
    </r>
    <r>
      <rPr>
        <b/>
        <sz val="12"/>
        <rFont val="Arial"/>
        <family val="2"/>
      </rPr>
      <t>M, this must equal A</t>
    </r>
    <r>
      <rPr>
        <sz val="12"/>
        <rFont val="Arial"/>
        <family val="2"/>
      </rPr>
      <t xml:space="preserve"> (cell E22). A prompt will appear to the right of </t>
    </r>
    <r>
      <rPr>
        <b/>
        <sz val="12"/>
        <rFont val="Arial"/>
        <family val="2"/>
      </rPr>
      <t>N</t>
    </r>
    <r>
      <rPr>
        <sz val="12"/>
        <rFont val="Arial"/>
        <family val="2"/>
      </rPr>
      <t xml:space="preserve"> indicating if you need to allocate more or less to equal </t>
    </r>
    <r>
      <rPr>
        <b/>
        <sz val="12"/>
        <rFont val="Arial"/>
        <family val="2"/>
      </rPr>
      <t>A</t>
    </r>
    <r>
      <rPr>
        <sz val="12"/>
        <rFont val="Arial"/>
        <family val="2"/>
      </rPr>
      <t>.</t>
    </r>
  </si>
  <si>
    <r>
      <t xml:space="preserve">When there are no prompts visible and "CORRECT" appears to the right of </t>
    </r>
    <r>
      <rPr>
        <b/>
        <sz val="12"/>
        <rFont val="Arial"/>
        <family val="2"/>
      </rPr>
      <t>N</t>
    </r>
    <r>
      <rPr>
        <sz val="12"/>
        <rFont val="Arial"/>
        <family val="2"/>
      </rPr>
      <t>, the form is complete.</t>
    </r>
  </si>
  <si>
    <t>General reminder</t>
  </si>
  <si>
    <t>If you require assistance with clearing any message prompts, please contact  the Returns &amp; Compliance team.</t>
  </si>
  <si>
    <t>When this form has been completed and all prompt messages have been addressed, email the saved excel formatted file to:</t>
  </si>
  <si>
    <t>schoolfinancereturns@theeducationpeople.org</t>
  </si>
  <si>
    <t>Schools Financial Services Guidance</t>
  </si>
  <si>
    <t xml:space="preserve">Balance Control Mechanism (BCM) Criteria - Which category to use? </t>
  </si>
  <si>
    <t>Introduction</t>
  </si>
  <si>
    <t>The Schools’ Funding Forum fundamental principle underpinning the BCM is that the funding received for the period (financial year April to March), which is predicated on the cohort of pupils at the school during that period, should be spent on those pupils during that period.</t>
  </si>
  <si>
    <t>BCM Allowable Criteria</t>
  </si>
  <si>
    <t xml:space="preserve">There are four accepted criteria that allow schools to carry forward funding in excess of their Balance Control Mechanism (BCM) into the next financial year: Capital Projects, Holding Funds on Behalf of Other Schools, Late Allocations and Other Grants &amp; Payments.  Outlined below are details of each of the criteria to assist schools who are over their BCM limit in completing the 9 month and Year end returns. </t>
  </si>
  <si>
    <r>
      <t>Capital Project</t>
    </r>
    <r>
      <rPr>
        <sz val="12"/>
        <rFont val="Arial"/>
        <family val="2"/>
      </rPr>
      <t xml:space="preserve">. </t>
    </r>
  </si>
  <si>
    <t>·</t>
  </si>
  <si>
    <t xml:space="preserve">Schools can be over the BCM if they plan to make a revenue to capital contribution for a future capital project that is planned for the following year. </t>
  </si>
  <si>
    <t>The returns information must include details of the capital project as well as the expected completion date</t>
  </si>
  <si>
    <t>The full cost of the project is required, include details of how much of the excess BCM will be used to fund the project, taking into account any surplus capital funds.</t>
  </si>
  <si>
    <t>Copy invoices will be required on completion of the project</t>
  </si>
  <si>
    <t>Examples: Extension to the school building</t>
  </si>
  <si>
    <t xml:space="preserve">
</t>
  </si>
  <si>
    <r>
      <t>Funds Held on Behalf of Other Schools</t>
    </r>
    <r>
      <rPr>
        <sz val="12"/>
        <rFont val="Arial"/>
        <family val="2"/>
      </rPr>
      <t xml:space="preserve">. </t>
    </r>
  </si>
  <si>
    <t xml:space="preserve">Schools can be over the BCM if they are holding funds on behalf of other schools </t>
  </si>
  <si>
    <t>The returns information must include details of what the funds are being used for, and the school/s it is held on behalf of.</t>
  </si>
  <si>
    <t>The returns information must include the current balance of the held funds and the date by which they need to be spent</t>
  </si>
  <si>
    <t>Examples: Collaborative Funding with Partnership School, you will be required to name schools.</t>
  </si>
  <si>
    <t>Late Allocation.</t>
  </si>
  <si>
    <t>A Late Allocation is funding that has been received in the latter part of the year that was not included within the original budget or included as additional income to the yearend forecast within the budget monitoring.</t>
  </si>
  <si>
    <r>
      <t>To be allowable, the Late Allocation must be unexpected new funding that the school has not had reasonable time in which to spend before the end of the financial year, and it has therefore been decided that only funding received between 1</t>
    </r>
    <r>
      <rPr>
        <vertAlign val="superscript"/>
        <sz val="12"/>
        <rFont val="Arial"/>
        <family val="2"/>
      </rPr>
      <t>st</t>
    </r>
    <r>
      <rPr>
        <sz val="12"/>
        <rFont val="Arial"/>
        <family val="2"/>
      </rPr>
      <t xml:space="preserve"> December and 31</t>
    </r>
    <r>
      <rPr>
        <vertAlign val="superscript"/>
        <sz val="12"/>
        <rFont val="Arial"/>
        <family val="2"/>
      </rPr>
      <t>st</t>
    </r>
    <r>
      <rPr>
        <sz val="12"/>
        <rFont val="Arial"/>
        <family val="2"/>
      </rPr>
      <t xml:space="preserve"> March will be considered e.g., an unexpected donation to the school.</t>
    </r>
  </si>
  <si>
    <t xml:space="preserve"> </t>
  </si>
  <si>
    <r>
      <t>Any unexpected funding that is received prior to 1</t>
    </r>
    <r>
      <rPr>
        <vertAlign val="superscript"/>
        <sz val="12"/>
        <rFont val="Arial"/>
        <family val="2"/>
      </rPr>
      <t>st</t>
    </r>
    <r>
      <rPr>
        <sz val="12"/>
        <rFont val="Arial"/>
        <family val="2"/>
      </rPr>
      <t xml:space="preserve"> December will not be allowable as a Late Allocation.</t>
    </r>
  </si>
  <si>
    <t xml:space="preserve">Funding that the school know they are due to receive will not be allowable as a Late Allocation even if this funding is not paid till a later date </t>
  </si>
  <si>
    <t>High Needs Funding (HNF) and whether it can be included within the Late Allocation criteria:</t>
  </si>
  <si>
    <r>
      <t>If HNF has been applied for in November for example, and confirmation that the school will receive funding has been given by 1</t>
    </r>
    <r>
      <rPr>
        <vertAlign val="superscript"/>
        <sz val="12"/>
        <rFont val="Arial"/>
        <family val="2"/>
      </rPr>
      <t>st</t>
    </r>
    <r>
      <rPr>
        <sz val="12"/>
        <rFont val="Arial"/>
        <family val="2"/>
      </rPr>
      <t xml:space="preserve"> December, but the funding is not received into the school bank account until February/March Advance, then this will not be counted as a Late Allocation - as the advised expected income should have been included in the monitoring year end forecast.</t>
    </r>
  </si>
  <si>
    <r>
      <t>However, if the school has a newly assessed pupil with unconfirmed funding or an annual pupil renewal with unconfirmed backpay, it is reasonable to not have included any additional funding into the monitoring year-end forecasts as the funding claimed cannot be assured.  Therefore, in these types of circumstances, the funding will be allowable under Late Allocations if it is paid after December 1</t>
    </r>
    <r>
      <rPr>
        <vertAlign val="superscript"/>
        <sz val="12"/>
        <rFont val="Arial"/>
        <family val="2"/>
      </rPr>
      <t>st</t>
    </r>
    <r>
      <rPr>
        <sz val="12"/>
        <rFont val="Arial"/>
        <family val="2"/>
      </rPr>
      <t>.</t>
    </r>
  </si>
  <si>
    <t>Each year there may be new funding streams.  Depending on the timing of the Government announcement, a decision will be made if the funding will be considered a Late Allocation or not.  Past examples have been Additional FSM Supplementary grant &amp; Classcare Scheme Refund.</t>
  </si>
  <si>
    <r>
      <t>Other Grants and Payments.</t>
    </r>
    <r>
      <rPr>
        <sz val="12"/>
        <rFont val="Arial"/>
        <family val="2"/>
      </rPr>
      <t xml:space="preserve">  </t>
    </r>
  </si>
  <si>
    <t xml:space="preserve">In general, schools are expected to spend funding received in each financial year on the pupils attending in that period.  Please see below for details of common grants to ascertain whether they are eligible to meet the criteria for allowable excess BCM.  For some grants that are paid on an academic year, part (or in some cases all) of the funding would be allowable under the excess BCM criteria.  Schools should read the Government Conditions of Grant for each grant to ensure the funding is spent as appropriate and in a timely fashion.  </t>
  </si>
  <si>
    <r>
      <rPr>
        <b/>
        <sz val="12"/>
        <color rgb="FF000000"/>
        <rFont val="Arial"/>
        <family val="2"/>
      </rPr>
      <t>UIFSM</t>
    </r>
    <r>
      <rPr>
        <sz val="12"/>
        <color rgb="FF000000"/>
        <rFont val="Arial"/>
        <family val="2"/>
      </rPr>
      <t xml:space="preserve"> is paid on an academic year.  The funding is unique due to an adjustment being made each July to ensure payments made up to the preceding March are correct, with schools using a Yearend adjustment at Closedown to balance the funds received to date. Therefore, any excess UIFSM funding is not allowable under the excess BCM criteria as the funding is a reimbursement for costs based across 2 census data. </t>
    </r>
  </si>
  <si>
    <r>
      <rPr>
        <b/>
        <sz val="12"/>
        <rFont val="Arial"/>
        <family val="2"/>
      </rPr>
      <t>HNF E3</t>
    </r>
    <r>
      <rPr>
        <sz val="12"/>
        <rFont val="Arial"/>
        <family val="2"/>
      </rPr>
      <t xml:space="preserve"> is paid monthly.  Any unspent HNF is not allowable under the excess BCM criteria as it should be spent on each eligible pupil in that financial year to meet their agreed needs. Please refer to paragraph on HNF in Late Allocation section of this document for further clarity.</t>
    </r>
  </si>
  <si>
    <r>
      <rPr>
        <b/>
        <sz val="12"/>
        <color rgb="FF000000"/>
        <rFont val="Arial"/>
        <family val="2"/>
      </rPr>
      <t xml:space="preserve">Academic Grants e.g., PE and Sports Grant.  </t>
    </r>
    <r>
      <rPr>
        <sz val="12"/>
        <color rgb="FF000000"/>
        <rFont val="Arial"/>
        <family val="2"/>
      </rPr>
      <t>When grants are paid on an academic year (September - August), it is expected that the grant will be spend in accordance with the guidance for the particular grant in question.</t>
    </r>
  </si>
  <si>
    <t>The Specific DfE guidance for the PE and Sports Grant states that the grant may be used within the academic year for which it was allocated and expenditure must be reported to the DfE by 31 August. It is therefore permissable to roll forward the November 2025/26 portion of the funding into financial year 2026/27. This is allowable under the criteria for excess BCM.</t>
  </si>
  <si>
    <r>
      <t xml:space="preserve">We are aware that some Academic grants need the second instalment set aside for specific expenditure e.g., </t>
    </r>
    <r>
      <rPr>
        <b/>
        <sz val="12"/>
        <rFont val="Arial"/>
        <family val="2"/>
      </rPr>
      <t>Teaching Schoo</t>
    </r>
    <r>
      <rPr>
        <sz val="12"/>
        <rFont val="Arial"/>
        <family val="2"/>
      </rPr>
      <t xml:space="preserve">l funding, where funding is received in advance to pay for April to August salaries for the next financial year and this will be allowable as excess BCM. </t>
    </r>
  </si>
  <si>
    <t>Version March 2026</t>
  </si>
  <si>
    <t>This form is to be used as part of the 2025-26 Year End returns only</t>
  </si>
  <si>
    <t>DfE No:</t>
  </si>
  <si>
    <t>School Name:</t>
  </si>
  <si>
    <t>Analysis of Year End Revenue Balances</t>
  </si>
  <si>
    <t>Section 1 - Total Revenue Rollover and comparison to Nine Month Forecast</t>
  </si>
  <si>
    <t>Row</t>
  </si>
  <si>
    <t>Amount £ / pp</t>
  </si>
  <si>
    <r>
      <rPr>
        <sz val="14"/>
        <color rgb="FF000000"/>
        <rFont val="Arial"/>
        <family val="2"/>
      </rPr>
      <t xml:space="preserve">Total Revenue Funds rollover c/f (Final Reconciliation Report, Actual Column, Current position)
For surplus balance enter as a negative (leading minus)              </t>
    </r>
    <r>
      <rPr>
        <b/>
        <sz val="16"/>
        <color rgb="FF000000"/>
        <rFont val="Arial"/>
        <family val="2"/>
      </rPr>
      <t xml:space="preserve"> For year end deficit enter as a positive              </t>
    </r>
    <r>
      <rPr>
        <b/>
        <sz val="14"/>
        <color rgb="FF000000"/>
        <rFont val="Arial"/>
        <family val="2"/>
      </rPr>
      <t xml:space="preserve">                                                                             </t>
    </r>
  </si>
  <si>
    <t>A</t>
  </si>
  <si>
    <t>B</t>
  </si>
  <si>
    <t>Difference between nine months forecast and actual Year End figures</t>
  </si>
  <si>
    <t>C</t>
  </si>
  <si>
    <t>Section 2 - Budget Control Mechanism - Detailed breakdown of Revenue Rollover</t>
  </si>
  <si>
    <t>Total Revenue Funds rollover c/f from Row A above</t>
  </si>
  <si>
    <t>D</t>
  </si>
  <si>
    <t>E</t>
  </si>
  <si>
    <r>
      <t xml:space="preserve">Revenue contribution to Capital project (planned for NEW year),needed in addition to surplus (c/f) capital funds 
</t>
    </r>
    <r>
      <rPr>
        <b/>
        <sz val="14"/>
        <color rgb="FF000000"/>
        <rFont val="Arial"/>
        <family val="2"/>
      </rPr>
      <t>Provide detail in worksheet 4.1_Capital</t>
    </r>
  </si>
  <si>
    <t>F</t>
  </si>
  <si>
    <r>
      <t xml:space="preserve">Funding held on behalf of other schools
</t>
    </r>
    <r>
      <rPr>
        <b/>
        <sz val="14"/>
        <color rgb="FF000000"/>
        <rFont val="Arial"/>
        <family val="2"/>
      </rPr>
      <t>Provide detail in worksheet 4</t>
    </r>
    <r>
      <rPr>
        <sz val="14"/>
        <color rgb="FF000000"/>
        <rFont val="Arial"/>
        <family val="2"/>
      </rPr>
      <t>.</t>
    </r>
    <r>
      <rPr>
        <b/>
        <sz val="14"/>
        <color rgb="FF000000"/>
        <rFont val="Arial"/>
        <family val="2"/>
      </rPr>
      <t>2</t>
    </r>
    <r>
      <rPr>
        <sz val="14"/>
        <color rgb="FF000000"/>
        <rFont val="Arial"/>
        <family val="2"/>
      </rPr>
      <t>_Other_schools</t>
    </r>
  </si>
  <si>
    <t>G</t>
  </si>
  <si>
    <r>
      <t xml:space="preserve">Late allocations
</t>
    </r>
    <r>
      <rPr>
        <b/>
        <sz val="14"/>
        <color rgb="FF000000"/>
        <rFont val="Arial"/>
        <family val="2"/>
      </rPr>
      <t>Provide detail in worksheet 4</t>
    </r>
    <r>
      <rPr>
        <sz val="14"/>
        <color rgb="FF000000"/>
        <rFont val="Arial"/>
        <family val="2"/>
      </rPr>
      <t>.</t>
    </r>
    <r>
      <rPr>
        <b/>
        <sz val="14"/>
        <color rgb="FF000000"/>
        <rFont val="Arial"/>
        <family val="2"/>
      </rPr>
      <t>3</t>
    </r>
    <r>
      <rPr>
        <sz val="14"/>
        <color rgb="FF000000"/>
        <rFont val="Arial"/>
        <family val="2"/>
      </rPr>
      <t>_Late_allocations</t>
    </r>
  </si>
  <si>
    <t>H</t>
  </si>
  <si>
    <r>
      <t xml:space="preserve">Other grant income and funding sources
</t>
    </r>
    <r>
      <rPr>
        <b/>
        <sz val="14"/>
        <color rgb="FF000000"/>
        <rFont val="Arial"/>
        <family val="2"/>
      </rPr>
      <t>Provide detail in worksheet 4</t>
    </r>
    <r>
      <rPr>
        <sz val="14"/>
        <color rgb="FF000000"/>
        <rFont val="Arial"/>
        <family val="2"/>
      </rPr>
      <t>.</t>
    </r>
    <r>
      <rPr>
        <b/>
        <sz val="14"/>
        <color rgb="FF000000"/>
        <rFont val="Arial"/>
        <family val="2"/>
      </rPr>
      <t>4</t>
    </r>
    <r>
      <rPr>
        <sz val="14"/>
        <color rgb="FF000000"/>
        <rFont val="Arial"/>
        <family val="2"/>
      </rPr>
      <t>_Other_income</t>
    </r>
  </si>
  <si>
    <t>I</t>
  </si>
  <si>
    <t>This amount over your BCM may be subject to Clawback.</t>
  </si>
  <si>
    <t>J</t>
  </si>
  <si>
    <t>Allowable Balance Control Mechanism (BCM) from Row D above</t>
  </si>
  <si>
    <t>Total Revenue Funds in Section 2.1</t>
  </si>
  <si>
    <t>Section 3 - Total Revenue Rollover breakdown - The DfE require this breakdown</t>
  </si>
  <si>
    <t>Total of breakdown of amount over BCM from above (Rows F to I above) (pre-populated)</t>
  </si>
  <si>
    <t>B01</t>
  </si>
  <si>
    <t>Community Focussed School Balance c/f figure - if applicable 
(from Section 3 of the Additional supporting information Closedown form)</t>
  </si>
  <si>
    <t>B06 c/f</t>
  </si>
  <si>
    <t>K</t>
  </si>
  <si>
    <r>
      <t xml:space="preserve">The remaining </t>
    </r>
    <r>
      <rPr>
        <b/>
        <sz val="14"/>
        <rFont val="Arial"/>
        <family val="2"/>
      </rPr>
      <t>Committed</t>
    </r>
    <r>
      <rPr>
        <sz val="14"/>
        <rFont val="Arial"/>
        <family val="2"/>
      </rPr>
      <t xml:space="preserve"> element from </t>
    </r>
    <r>
      <rPr>
        <b/>
        <sz val="14"/>
        <rFont val="Arial"/>
        <family val="2"/>
      </rPr>
      <t>Row A</t>
    </r>
    <r>
      <rPr>
        <sz val="14"/>
        <rFont val="Arial"/>
        <family val="2"/>
      </rPr>
      <t xml:space="preserve"> above.</t>
    </r>
  </si>
  <si>
    <t>L</t>
  </si>
  <si>
    <r>
      <t xml:space="preserve">The </t>
    </r>
    <r>
      <rPr>
        <b/>
        <sz val="14"/>
        <rFont val="Arial"/>
        <family val="2"/>
      </rPr>
      <t>Uncommitted</t>
    </r>
    <r>
      <rPr>
        <sz val="14"/>
        <rFont val="Arial"/>
        <family val="2"/>
      </rPr>
      <t xml:space="preserve"> element from </t>
    </r>
    <r>
      <rPr>
        <b/>
        <sz val="14"/>
        <rFont val="Arial"/>
        <family val="2"/>
      </rPr>
      <t>Row A</t>
    </r>
    <r>
      <rPr>
        <sz val="14"/>
        <rFont val="Arial"/>
        <family val="2"/>
      </rPr>
      <t xml:space="preserve"> above
</t>
    </r>
    <r>
      <rPr>
        <b/>
        <sz val="16"/>
        <rFont val="Arial"/>
        <family val="2"/>
      </rPr>
      <t>If the figure in row A is a deficit, enter the whole amount here with a leading minus</t>
    </r>
  </si>
  <si>
    <t>B02</t>
  </si>
  <si>
    <t>M</t>
  </si>
  <si>
    <t>Total of rows J to M - must match row A above</t>
  </si>
  <si>
    <t>N</t>
  </si>
  <si>
    <t>Section 4.1: Details of revenue contribution to capital project(s) planned for NEW financial year</t>
  </si>
  <si>
    <t>Guidance</t>
  </si>
  <si>
    <t xml:space="preserve">In order to evaluate whether carry forward funding in excess of  Balance Control Mechanism (BCM) should be permitted information is required for each proposed capital project. This worksheet enables you to submit the details for capital projects using a series of blue coloured tables. Each table is comprised of 2 sections. The first requests descriptive information about the proposed project including the total cost of the project, the amount of excess BCM to be used, timeframes and governance procedures whilst the second asks you to list the documents you will be submitting with this form as evidence to support your application for increased carry forward beyond BCM. Please complete the fields in column C against each information request which are grey in colour but will change colour once information is entered.
The 'Summary of capital projects' table at the top of this worksheet will be automatically populated using the information you provide for each capital project. Please just check that the total amount of excess BCM funding allocated to projects equals the total amount you have entered in row F of the '4.0_BCM_All' worksheet. An error message will show in column F against this table if the figures do not match. </t>
  </si>
  <si>
    <t>Summary of capital projects</t>
  </si>
  <si>
    <t>Project_no</t>
  </si>
  <si>
    <t>Project title</t>
  </si>
  <si>
    <t>Excess of BCM ( £ / pp)</t>
  </si>
  <si>
    <t>Total Project Cost (£ / pp)</t>
  </si>
  <si>
    <t>Date to be spent by (dd/mm/yyyy)</t>
  </si>
  <si>
    <t>Total</t>
  </si>
  <si>
    <t>Capital Projects</t>
  </si>
  <si>
    <t>Capital Project 1</t>
  </si>
  <si>
    <t>Title</t>
  </si>
  <si>
    <t>Description of the project (use Alt+Enter to insert paragraph breaks if needed)</t>
  </si>
  <si>
    <t>Total cost of the project  (Amount £ / pp)</t>
  </si>
  <si>
    <t>How much of the excess BCM will be used to fund the project (taking into account any surplus capital finds) (Amount £ / pp)</t>
  </si>
  <si>
    <t>Project timeframe (use Alt+Enter to insert paragraph breaks if needed)</t>
  </si>
  <si>
    <t>Expected completion date (dd/mm/yyyy)</t>
  </si>
  <si>
    <t>Discussed and or agreed by Governors (agreement required if spend above capital threshold)</t>
  </si>
  <si>
    <t>Discussed with and agreed by your ADE</t>
  </si>
  <si>
    <t>Evidence to support approval of project 1</t>
  </si>
  <si>
    <t>Documents attached with this return</t>
  </si>
  <si>
    <t>E1.3</t>
  </si>
  <si>
    <t>Quotes obtained for the work</t>
  </si>
  <si>
    <t>E1.5</t>
  </si>
  <si>
    <t>Project plan</t>
  </si>
  <si>
    <t>E1.7</t>
  </si>
  <si>
    <t>Minutes of the appropriate Governors meeting where the project was discussed</t>
  </si>
  <si>
    <t>E1.x</t>
  </si>
  <si>
    <t>Other - please give details in this cell</t>
  </si>
  <si>
    <t>Capital Project 2</t>
  </si>
  <si>
    <t>How much of the excess BCM will be used to fund the project (taking into account any surplus capital finds)  (Amount £ / pp)</t>
  </si>
  <si>
    <t>Discussed with and agreed by ADE</t>
  </si>
  <si>
    <t>Evidence to support approval of project 2</t>
  </si>
  <si>
    <t>E2.3</t>
  </si>
  <si>
    <t>E2.5</t>
  </si>
  <si>
    <t>E2.7</t>
  </si>
  <si>
    <t>E2.x</t>
  </si>
  <si>
    <t>Capital Project 3</t>
  </si>
  <si>
    <t>Evidence to support approval of project 3</t>
  </si>
  <si>
    <t>E3.3</t>
  </si>
  <si>
    <t>E3.5</t>
  </si>
  <si>
    <t>E3.7</t>
  </si>
  <si>
    <t>E3.x</t>
  </si>
  <si>
    <t>Capital Project 4</t>
  </si>
  <si>
    <t>Evidence to support approval of project 4</t>
  </si>
  <si>
    <t>E4.3</t>
  </si>
  <si>
    <t>E4.5</t>
  </si>
  <si>
    <t>E4.7</t>
  </si>
  <si>
    <t>E4.x</t>
  </si>
  <si>
    <t>Section 4.2: Details of Funding held on behalf of other schools</t>
  </si>
  <si>
    <t>This worksheet requests further information about funding you are holding on behalf of other schools. In the Summary of Funding held table we need you to tell us which schools you are holding funds for; the value of those funds and the date the funds are due to be spent by. Please complete the grey cells in this table. These cells will change colour once completed.
We would then like to know what the funding is being held for and why you are holding it on behalf of other schools. Please answer these questions in the grey boxes provided which will change colour once you enter information into them.  Use Alt+Enter to insert paragraph breaks if needed.</t>
  </si>
  <si>
    <t>Summary of funding held on behalf of other schools</t>
  </si>
  <si>
    <t>DfE Number</t>
  </si>
  <si>
    <t>School Name</t>
  </si>
  <si>
    <t>% split</t>
  </si>
  <si>
    <t>What is the funding being held for other schools?</t>
  </si>
  <si>
    <t>Why are you holding the fund for other schools?</t>
  </si>
  <si>
    <t>Section 4.3: Details of late allocations</t>
  </si>
  <si>
    <t xml:space="preserve">This worksheet requests further information about any late allocations you may have received. In the Summary of late allocations table we need you to tell us what the late allocation was for, why it was unexpected, the date when the money has received. Please complete the grey cells in this table. These cells will change colour once data is entered.
</t>
  </si>
  <si>
    <t>Summary of late allocations</t>
  </si>
  <si>
    <t>What is the late allocation for?</t>
  </si>
  <si>
    <t>Why was it unexpected?</t>
  </si>
  <si>
    <t>Date when the money was received (dd/mm/yyyy)</t>
  </si>
  <si>
    <t xml:space="preserve">Detailed transaction list showing payment attached with this return </t>
  </si>
  <si>
    <t>Date when related expenditure is due to take place (dd/mm/yyyy)</t>
  </si>
  <si>
    <t>Section 4.4: Details of other grants and funding sources</t>
  </si>
  <si>
    <t xml:space="preserve">This worksheet requests further information about any other grants or funding sources that you have received and  wish to carry forward in excess of your  Balance Control Mechanism (BCM) .   This worksheet enables you to submit the details about each grant or funding source using a series of  green coloured tables. Each table requests descriptive information about the grant or funding source including the name of the source, what it is to be spend on, how that spent relates to your school strategy, the amount you wish to carry forward in excess of your BCM and the date by which the grant/funding is to be spent. Please complete the fields in column C against each information request which are grey in colour but will change colour once information is entered.
The 'Summary of Other grants and payment sources' table at the top of this worksheet will be automatically populated using the information you provide for each grant/payment source. Please just check that the total amount equals the total amount you have entered in row I of the '4.0_BCM_All' worksheet. An error message will show in column E against this table if the figures do not match. </t>
  </si>
  <si>
    <t>Summary of other grants and funding sources</t>
  </si>
  <si>
    <t>Name of grant / payment source</t>
  </si>
  <si>
    <t>Grant  / payment source 1</t>
  </si>
  <si>
    <t>Name of grant or funding source</t>
  </si>
  <si>
    <t>What is this funding being spent on?</t>
  </si>
  <si>
    <t>How does this spend relate to the school strategy?</t>
  </si>
  <si>
    <t>What is the remaining value of the grant /income for financial year 2026-27? (Amount £ / pp)</t>
  </si>
  <si>
    <t>When is this grant/income to be spent by? (dd/mm/yyyy)</t>
  </si>
  <si>
    <t>Grant  / payment source 2</t>
  </si>
  <si>
    <t>Grant  / payment source 3</t>
  </si>
  <si>
    <t>What is the remaining value of the grant /income for financial year 2026-27?  (Amount £ / pp)</t>
  </si>
  <si>
    <t>Grant  / payment source 4</t>
  </si>
  <si>
    <t>Kelsi / Invoice</t>
  </si>
  <si>
    <t>Year End</t>
  </si>
  <si>
    <t>Tolerance</t>
  </si>
  <si>
    <t>DfE</t>
  </si>
  <si>
    <t>school name</t>
  </si>
  <si>
    <t>BCM</t>
  </si>
  <si>
    <t>Phase</t>
  </si>
  <si>
    <t>%</t>
  </si>
  <si>
    <t>I01-01 and -50</t>
  </si>
  <si>
    <t>I02-01</t>
  </si>
  <si>
    <t>I03-01</t>
  </si>
  <si>
    <t>I05-01</t>
  </si>
  <si>
    <t>Rates</t>
  </si>
  <si>
    <t>Actual</t>
  </si>
  <si>
    <t>YE Forecast</t>
  </si>
  <si>
    <t>Variance</t>
  </si>
  <si>
    <t>% var</t>
  </si>
  <si>
    <t>Northfleet Nursery School</t>
  </si>
  <si>
    <t>The Rosewood School</t>
  </si>
  <si>
    <t>Birchwood PRU</t>
  </si>
  <si>
    <t>Maidstone and Malling Alternative Provision</t>
  </si>
  <si>
    <t>Thanet &amp; Dover AC PRU</t>
  </si>
  <si>
    <t>Don’t overtype orange column  - they contain formulas
Updated :dd/mm/yy</t>
  </si>
  <si>
    <t>West Kent AC Pru (Ton, Tun Wells &amp; Sev)</t>
  </si>
  <si>
    <t>St John's CE School</t>
  </si>
  <si>
    <t>Repton Manor</t>
  </si>
  <si>
    <t>Discovery School, The</t>
  </si>
  <si>
    <t xml:space="preserve">Woodlands Primary School </t>
  </si>
  <si>
    <t>Crockenhill Primary School</t>
  </si>
  <si>
    <t>Anthony Roper Primary School, The</t>
  </si>
  <si>
    <t>Cobham Primary School</t>
  </si>
  <si>
    <t>Cecil Road Primary and Nursery School</t>
  </si>
  <si>
    <t>Higham Primary School</t>
  </si>
  <si>
    <t>Lawn Primary School</t>
  </si>
  <si>
    <t>Bean Primary School</t>
  </si>
  <si>
    <t>Capel Primary School</t>
  </si>
  <si>
    <t>Dunton Green Primary School</t>
  </si>
  <si>
    <t>Hadlow Primary School</t>
  </si>
  <si>
    <t>Kemsing Primary School</t>
  </si>
  <si>
    <t>Leigh Primary School</t>
  </si>
  <si>
    <t>Otford Primary School</t>
  </si>
  <si>
    <t>Pembury School</t>
  </si>
  <si>
    <t>Sandhurst Primary School</t>
  </si>
  <si>
    <t>Weald Community Primary School</t>
  </si>
  <si>
    <t>Shoreham Village School</t>
  </si>
  <si>
    <t xml:space="preserve">Slade Primary School </t>
  </si>
  <si>
    <t>Sussex Road Community Primary School</t>
  </si>
  <si>
    <t>Boughton Monchelsea Primary School</t>
  </si>
  <si>
    <t>East Farleigh Primary School</t>
  </si>
  <si>
    <t>East Peckham Primary School</t>
  </si>
  <si>
    <t>Headcorn Primary School</t>
  </si>
  <si>
    <t>Hollingbourne Primary School</t>
  </si>
  <si>
    <t>Ightham Primary School</t>
  </si>
  <si>
    <t>Lenham Primary School</t>
  </si>
  <si>
    <t>Platts Heath Primary School</t>
  </si>
  <si>
    <t>Brunswick House Primary School</t>
  </si>
  <si>
    <t>North Borough Junior School</t>
  </si>
  <si>
    <t>Park Way Primary School</t>
  </si>
  <si>
    <t>Mereworth Community Primary School</t>
  </si>
  <si>
    <t>Offham Primary School</t>
  </si>
  <si>
    <t>Plaxtol Primary School</t>
  </si>
  <si>
    <t>Ryarsh Primary School</t>
  </si>
  <si>
    <t>Shipbourne School</t>
  </si>
  <si>
    <t>Staplehurst School</t>
  </si>
  <si>
    <t>Sutton Valence Primary School</t>
  </si>
  <si>
    <t>Eastling Primary School</t>
  </si>
  <si>
    <t>Ethelbert Road Primary School</t>
  </si>
  <si>
    <t>Davington Primary School</t>
  </si>
  <si>
    <t>Lower Halstow School</t>
  </si>
  <si>
    <t>Rodmersham School</t>
  </si>
  <si>
    <t>Rose Street School</t>
  </si>
  <si>
    <t>Canterbury Road Primary School</t>
  </si>
  <si>
    <t>Blean Primary School</t>
  </si>
  <si>
    <t>Herne Bay Infant School</t>
  </si>
  <si>
    <t>Hoath Primary School</t>
  </si>
  <si>
    <t>Westmeads Community Infant School</t>
  </si>
  <si>
    <t>Whitstable Junior School</t>
  </si>
  <si>
    <t>Aldington Primary School</t>
  </si>
  <si>
    <t>Victoria Road Primary School</t>
  </si>
  <si>
    <t>Willesborough Infant School</t>
  </si>
  <si>
    <t>Bethersden Primary School</t>
  </si>
  <si>
    <t>Brook Community Primary School</t>
  </si>
  <si>
    <t>Challock Primary School</t>
  </si>
  <si>
    <t>Great Chart Primary School</t>
  </si>
  <si>
    <t>Mersham Primary School</t>
  </si>
  <si>
    <t>Smeeth Community Primary School</t>
  </si>
  <si>
    <t>Hawkinge Primary School</t>
  </si>
  <si>
    <t>Sellindge Primary School</t>
  </si>
  <si>
    <t>River Primary School</t>
  </si>
  <si>
    <t>Langdon Primary School</t>
  </si>
  <si>
    <t>Eythorne Elvington Community Primary School</t>
  </si>
  <si>
    <t>Lydden Primary School</t>
  </si>
  <si>
    <t>Preston Primary School</t>
  </si>
  <si>
    <t>Wingham Primary School</t>
  </si>
  <si>
    <t>St Mildred's Primary Infant School</t>
  </si>
  <si>
    <t>Callis Grange Nursery and Infant School</t>
  </si>
  <si>
    <t>St Crispin's Community Primary Infant School</t>
  </si>
  <si>
    <t>Ellington Infant School</t>
  </si>
  <si>
    <t>Priory Infant School</t>
  </si>
  <si>
    <t>Shears Green Junior School</t>
  </si>
  <si>
    <t>West Minster Primary School</t>
  </si>
  <si>
    <t>Aycliffe Community Primary School</t>
  </si>
  <si>
    <t>Riverhead Infant School</t>
  </si>
  <si>
    <t>Claremont Primary School</t>
  </si>
  <si>
    <t>Whitfield Aspen School</t>
  </si>
  <si>
    <t>St Paul's Infant School</t>
  </si>
  <si>
    <t>Langton Green Primary School</t>
  </si>
  <si>
    <t>Bishops Down Primary School</t>
  </si>
  <si>
    <t>Singlewell Primary School</t>
  </si>
  <si>
    <t>Cheriton Primary School</t>
  </si>
  <si>
    <t>Brookfield Infant School</t>
  </si>
  <si>
    <t>Vigo Village School</t>
  </si>
  <si>
    <t>Madginford Park Infant School</t>
  </si>
  <si>
    <t>Palmarsh Primary School</t>
  </si>
  <si>
    <t>Painters Ash Primary School</t>
  </si>
  <si>
    <t>Tunbury Primary School</t>
  </si>
  <si>
    <t>St Margaret's-at-Cliffe Primary School</t>
  </si>
  <si>
    <t>Stocks Green Primary School</t>
  </si>
  <si>
    <t>Sandgate Primary School</t>
  </si>
  <si>
    <t>Sandling Primary School</t>
  </si>
  <si>
    <t>Capel-le-Ferne Primary School</t>
  </si>
  <si>
    <t>Lunsford Primary School</t>
  </si>
  <si>
    <t>Downs View Infant School</t>
  </si>
  <si>
    <t>Kingswood Primary School</t>
  </si>
  <si>
    <t>Senacre Wood Primary School</t>
  </si>
  <si>
    <t>Bromstone Primary School, Broadstairs</t>
  </si>
  <si>
    <t>Parkside Community Primary School</t>
  </si>
  <si>
    <t>High Firs Primary School</t>
  </si>
  <si>
    <t>Sandwich Junior School</t>
  </si>
  <si>
    <t>Sevenoaks Primary School</t>
  </si>
  <si>
    <t>Swalecliffe Community Primary School</t>
  </si>
  <si>
    <t>Aylesham Primary School</t>
  </si>
  <si>
    <t>Broadwater Primary School</t>
  </si>
  <si>
    <t>West Borough Primary School</t>
  </si>
  <si>
    <t>Long Mead Community Primary School</t>
  </si>
  <si>
    <t>Kings Farm Primary School</t>
  </si>
  <si>
    <t>Kings Hill School</t>
  </si>
  <si>
    <t>New Ash Green Primary School</t>
  </si>
  <si>
    <t>Craylands School, The</t>
  </si>
  <si>
    <t>St Paul's CEP School</t>
  </si>
  <si>
    <t>Fawkham CEP School</t>
  </si>
  <si>
    <t>Benenden CEP School</t>
  </si>
  <si>
    <t>Bidborough CEP School</t>
  </si>
  <si>
    <t>Cranbrook CEP School</t>
  </si>
  <si>
    <t>Goudhurst &amp; Kilndown CEP School</t>
  </si>
  <si>
    <t>Hawkhurst CEP School</t>
  </si>
  <si>
    <t>Hildenborough CEP School</t>
  </si>
  <si>
    <t>Lamberhurst St Mary's CEP School</t>
  </si>
  <si>
    <t>St John's CEP School, Sevenoaks</t>
  </si>
  <si>
    <t>Speldhurst CEP School</t>
  </si>
  <si>
    <t>Sundridge and Brasted CEP School</t>
  </si>
  <si>
    <t>St John's CEP School</t>
  </si>
  <si>
    <t>St Mark's CEP School</t>
  </si>
  <si>
    <t>St Peter's CEP School - Tun Wells</t>
  </si>
  <si>
    <t>Crockham Hill CEP School</t>
  </si>
  <si>
    <t>Churchill CEP School</t>
  </si>
  <si>
    <t>St Peter's C of E Primary School</t>
  </si>
  <si>
    <t>Bredhurst CEP School</t>
  </si>
  <si>
    <t>Burham CEP School</t>
  </si>
  <si>
    <t>Harrietsham CEP School</t>
  </si>
  <si>
    <t>Leeds &amp; Broomfield CEP School</t>
  </si>
  <si>
    <t>St Michael's CEJ School, Maidstone</t>
  </si>
  <si>
    <t>St Michael's CEI School, Maidstone</t>
  </si>
  <si>
    <t>Thurnham CEI School</t>
  </si>
  <si>
    <t>Trottiscliffe CEP School</t>
  </si>
  <si>
    <t>Ulcombe CEP School</t>
  </si>
  <si>
    <t>Wateringbury CEP School</t>
  </si>
  <si>
    <t>Wouldham All Saints CoE Primary School</t>
  </si>
  <si>
    <t>St George's CEP School</t>
  </si>
  <si>
    <t>St Margaret's CEP School, Collier Street</t>
  </si>
  <si>
    <t>Laddingford St Mary's CEP School</t>
  </si>
  <si>
    <t>Yalding St Peter &amp; St Paul CEP School</t>
  </si>
  <si>
    <t>Ospringe CEP School</t>
  </si>
  <si>
    <t>Hernhill CEP School</t>
  </si>
  <si>
    <t>Newington CEP School</t>
  </si>
  <si>
    <t>Teynham Parochial CEP School</t>
  </si>
  <si>
    <t>Barham CEP School</t>
  </si>
  <si>
    <t>Bridge and Patrixbourne CEP School</t>
  </si>
  <si>
    <t>Chislet CEP School</t>
  </si>
  <si>
    <t>Littlebourne CEP School</t>
  </si>
  <si>
    <t>St Alphege CEI School</t>
  </si>
  <si>
    <t>Wickhambreaux CEP School</t>
  </si>
  <si>
    <t>Brabourne CEP School</t>
  </si>
  <si>
    <t>Brookland CEP School</t>
  </si>
  <si>
    <t>St Mary's CEP School, Chilham</t>
  </si>
  <si>
    <t>High Halden CEP School</t>
  </si>
  <si>
    <t>Woodchurch CEP School</t>
  </si>
  <si>
    <t>Bodsham CEP School</t>
  </si>
  <si>
    <t>St Martin's CEP School, Folkestone</t>
  </si>
  <si>
    <t>St Peter's CEP School - Shepway</t>
  </si>
  <si>
    <t>Seabrook CEP School</t>
  </si>
  <si>
    <t>Lyminge CEP School</t>
  </si>
  <si>
    <t>Lympne CEP School</t>
  </si>
  <si>
    <t>Stelling Minnis CEP School</t>
  </si>
  <si>
    <t>Stowting CEP School</t>
  </si>
  <si>
    <t>Selsted CEP School</t>
  </si>
  <si>
    <t>Eastry CEP School</t>
  </si>
  <si>
    <t>Goodnestone CEP School</t>
  </si>
  <si>
    <t>Guston CEP School</t>
  </si>
  <si>
    <t>Nonington CEP School</t>
  </si>
  <si>
    <t>Sibertswold CEP School at Shepherdswell</t>
  </si>
  <si>
    <t>Birchington CEP School</t>
  </si>
  <si>
    <t>Holy Trinity &amp; St Johns C of E Primary School</t>
  </si>
  <si>
    <t>St Saviour's CEJ School, Westgate-on-Sea</t>
  </si>
  <si>
    <t>Minster CEP School</t>
  </si>
  <si>
    <t>Monkton CEP School</t>
  </si>
  <si>
    <t>St Nicholas At Wade CEP School</t>
  </si>
  <si>
    <t>Frittenden CEP School</t>
  </si>
  <si>
    <t>Egerton CEP School</t>
  </si>
  <si>
    <t>St Lawrence CEP School</t>
  </si>
  <si>
    <t>Boughton-under-Blean and Dunkirk Primary School</t>
  </si>
  <si>
    <t>Lady Joanna Thornhill (Endowed) Primary School</t>
  </si>
  <si>
    <t>St Peter's Methodist Primary School, Canterbury</t>
  </si>
  <si>
    <t>St Matthew's High Brooms CEP School</t>
  </si>
  <si>
    <t>Herne CE Infant &amp; Nursery School</t>
  </si>
  <si>
    <t>Langafel CEP School</t>
  </si>
  <si>
    <t>Southborough CEP School</t>
  </si>
  <si>
    <t>West Kingsdown C.E. (V.C.) Primary School</t>
  </si>
  <si>
    <t>John Wesley Primary School</t>
  </si>
  <si>
    <t>St Katharine's Knockholt CEP School</t>
  </si>
  <si>
    <t>Chevening (St Botolph's) CEP School</t>
  </si>
  <si>
    <t>Colliers Green CEP School</t>
  </si>
  <si>
    <t>Sissinghurst CEP School</t>
  </si>
  <si>
    <t>Hever CEP School</t>
  </si>
  <si>
    <t>Penshurst CEP School</t>
  </si>
  <si>
    <t>Lady Boswell's CE (Aided) Primary School</t>
  </si>
  <si>
    <t>Ide Hill CEP School</t>
  </si>
  <si>
    <t>St Barnabas CEP School</t>
  </si>
  <si>
    <t>St James CE Primary School</t>
  </si>
  <si>
    <t>Hunton CEP School</t>
  </si>
  <si>
    <t>Don’t overtype orange column  - they contain formulas</t>
  </si>
  <si>
    <t>Platt CEP School</t>
  </si>
  <si>
    <t>Bapchild and Tonge CEP School</t>
  </si>
  <si>
    <t>Hartlip Endowed CEP School</t>
  </si>
  <si>
    <t>Tunstall CE (Aided) School</t>
  </si>
  <si>
    <t>Herne CEJ School</t>
  </si>
  <si>
    <t>Whitstable &amp; Seasalter Endowed CEJ School</t>
  </si>
  <si>
    <t>St Mary's CEP School, Ashford</t>
  </si>
  <si>
    <t>Wittersham CEP School</t>
  </si>
  <si>
    <t>Elham CEP School</t>
  </si>
  <si>
    <t>Saltwood CEP School</t>
  </si>
  <si>
    <t>Cartwright &amp; Kelsey CEP School</t>
  </si>
  <si>
    <t>St Mary's CEP School, Dover</t>
  </si>
  <si>
    <t>St Peter-in-Thanet CEJ School</t>
  </si>
  <si>
    <t>Ramsgate, Holy Trinity Church of England Primary</t>
  </si>
  <si>
    <t>St Mary's CEP School</t>
  </si>
  <si>
    <t>St Ethelbert's Catholic Primary School, Ramsgate</t>
  </si>
  <si>
    <t>St Anselm's Catholic Primary School, Dartford</t>
  </si>
  <si>
    <t>Our Lady's Catholic Primary School, Dartford</t>
  </si>
  <si>
    <t>St Thomas' Catholic Primary School, Canterbury</t>
  </si>
  <si>
    <t>Phoenix Community Primary School</t>
  </si>
  <si>
    <t>Downsview Primary</t>
  </si>
  <si>
    <t>Greenfields Community Primary School</t>
  </si>
  <si>
    <t>Hythe Bay C of E Primary School</t>
  </si>
  <si>
    <t>Castle Hill Community Primary School</t>
  </si>
  <si>
    <t>Palace Wood Primary School</t>
  </si>
  <si>
    <t>Hextable Primary School</t>
  </si>
  <si>
    <t>Ashford Oaks Community Primary School</t>
  </si>
  <si>
    <t>Joy Lane Primary School</t>
  </si>
  <si>
    <t>Green Park Community Primary School</t>
  </si>
  <si>
    <t>Garlinge Primary School &amp; Nursery</t>
  </si>
  <si>
    <t>Goatlees Primary School</t>
  </si>
  <si>
    <t>Dartford Science &amp; Technology College</t>
  </si>
  <si>
    <t>Northfleet School for Girls</t>
  </si>
  <si>
    <t>Tunbridge Wells Girls' Grammar School</t>
  </si>
  <si>
    <t>Tunbridge Wells Grammar School for Boys</t>
  </si>
  <si>
    <t>Dover Grammar School for Girls</t>
  </si>
  <si>
    <t>Maidstone Grammar School</t>
  </si>
  <si>
    <t>Maidstone Grammar School for Girls</t>
  </si>
  <si>
    <t>Simon Langton Girls' Grammar School</t>
  </si>
  <si>
    <t>Judd School, The</t>
  </si>
  <si>
    <t>Snodland CEP School</t>
  </si>
  <si>
    <t>Borough Green Primary School</t>
  </si>
  <si>
    <t>Roseacre Junior School</t>
  </si>
  <si>
    <t>Herne Bay Junior School</t>
  </si>
  <si>
    <t>St Francis' Catholic School, Maidstone</t>
  </si>
  <si>
    <t>Ditton Infant School</t>
  </si>
  <si>
    <t>Holy Trinity CEP School, Dartford</t>
  </si>
  <si>
    <t>St Bartholomew's Catholic Primary School</t>
  </si>
  <si>
    <t>Greatstone Primary School</t>
  </si>
  <si>
    <t>Wincheap Foundation Primary School</t>
  </si>
  <si>
    <t>Brookfield Junior School, Larkfield</t>
  </si>
  <si>
    <t>Harcourt Primary School</t>
  </si>
  <si>
    <t>Willesborough Junior School</t>
  </si>
  <si>
    <t>Thamesview School</t>
  </si>
  <si>
    <t>Simon Langton Grammar School for Boys</t>
  </si>
  <si>
    <t>Malling School, The</t>
  </si>
  <si>
    <t>Archbishop's School, The</t>
  </si>
  <si>
    <t>St George's CE Foundation School</t>
  </si>
  <si>
    <t>Northfleet Technology College</t>
  </si>
  <si>
    <t>Dover Grammar School for Boys</t>
  </si>
  <si>
    <t>St John's RC Comprehensive School</t>
  </si>
  <si>
    <t>Broomhill Bank School</t>
  </si>
  <si>
    <t>Valence School</t>
  </si>
  <si>
    <t>Bower Grove School</t>
  </si>
  <si>
    <t>St Anthony's School</t>
  </si>
  <si>
    <t>Ifield School, The</t>
  </si>
  <si>
    <t>Foreland School, The</t>
  </si>
  <si>
    <t>Goldwyn Community Special School</t>
  </si>
  <si>
    <t>Beacon school</t>
  </si>
  <si>
    <t>Rowhill School</t>
  </si>
  <si>
    <t>Elms School</t>
  </si>
  <si>
    <t>Nexus School</t>
  </si>
  <si>
    <t>Grange Park School</t>
  </si>
  <si>
    <t>Five Acre Wood School</t>
  </si>
  <si>
    <t>Stone Bay School</t>
  </si>
  <si>
    <t>Orchard School, The</t>
  </si>
  <si>
    <t>St Nicholas' School</t>
  </si>
  <si>
    <t>Portal House School</t>
  </si>
  <si>
    <t>Wyvern School, The</t>
  </si>
  <si>
    <t>Oakley School</t>
  </si>
  <si>
    <t>Meadowfield School</t>
  </si>
  <si>
    <t>Laleham Gap School (Primary Site)</t>
  </si>
  <si>
    <t>Test School</t>
  </si>
  <si>
    <t>Data Validation</t>
  </si>
  <si>
    <t>New year</t>
  </si>
  <si>
    <t>Old year</t>
  </si>
  <si>
    <t>Start date</t>
  </si>
  <si>
    <t>End date</t>
  </si>
  <si>
    <t>The allowable BCM Thresholds (12% - Primary, Special and PRU and 7.5% - Secondary) have been set to recognise the need of a financial tolerance, to enable an appropriate resource to ensure a smooth transition, when circumstances within the school change, for example a falling roll.</t>
  </si>
  <si>
    <t>9 Months  2026</t>
  </si>
  <si>
    <r>
      <rPr>
        <b/>
        <sz val="12"/>
        <rFont val="Arial"/>
        <family val="2"/>
      </rPr>
      <t>Pupil Premium</t>
    </r>
    <r>
      <rPr>
        <sz val="12"/>
        <rFont val="Arial"/>
        <family val="2"/>
      </rPr>
      <t xml:space="preserve"> is paid to schools in 12 equal instalments.  The 2025-26 Conditions of Grant state that t</t>
    </r>
    <r>
      <rPr>
        <sz val="12"/>
        <color rgb="FF0B0C0C"/>
        <rFont val="Arial"/>
        <family val="2"/>
      </rPr>
      <t>he grant does not have to be completely spent by schools in the financial year beginning 1 April 2025; some or all of it may be carried forward to future financial years. Any funding that is carried forward must be spent according to the conditions in this document.</t>
    </r>
  </si>
  <si>
    <r>
      <t xml:space="preserve">When </t>
    </r>
    <r>
      <rPr>
        <b/>
        <sz val="12"/>
        <rFont val="Arial"/>
        <family val="2"/>
      </rPr>
      <t>F</t>
    </r>
    <r>
      <rPr>
        <sz val="12"/>
        <rFont val="Arial"/>
        <family val="2"/>
      </rPr>
      <t xml:space="preserve"> to </t>
    </r>
    <r>
      <rPr>
        <b/>
        <sz val="12"/>
        <rFont val="Arial"/>
        <family val="2"/>
      </rPr>
      <t>I</t>
    </r>
    <r>
      <rPr>
        <sz val="12"/>
        <rFont val="Arial"/>
        <family val="2"/>
      </rPr>
      <t xml:space="preserve"> equal the amount over BCM, there will be no </t>
    </r>
    <r>
      <rPr>
        <b/>
        <sz val="12"/>
        <rFont val="Arial"/>
        <family val="2"/>
      </rPr>
      <t>amber</t>
    </r>
    <r>
      <rPr>
        <sz val="12"/>
        <rFont val="Arial"/>
        <family val="2"/>
      </rPr>
      <t xml:space="preserve"> or</t>
    </r>
    <r>
      <rPr>
        <b/>
        <sz val="12"/>
        <rFont val="Arial"/>
        <family val="2"/>
      </rPr>
      <t xml:space="preserve"> red</t>
    </r>
    <r>
      <rPr>
        <sz val="12"/>
        <rFont val="Arial"/>
        <family val="2"/>
      </rPr>
      <t xml:space="preserve"> box and </t>
    </r>
    <r>
      <rPr>
        <b/>
        <sz val="12"/>
        <rFont val="Arial"/>
        <family val="2"/>
      </rPr>
      <t xml:space="preserve">J </t>
    </r>
    <r>
      <rPr>
        <sz val="12"/>
        <rFont val="Arial"/>
        <family val="2"/>
      </rPr>
      <t>(cell E20) will be zero. This section is now balanced.</t>
    </r>
  </si>
  <si>
    <r>
      <t xml:space="preserve">The remaining revenue rollover from </t>
    </r>
    <r>
      <rPr>
        <b/>
        <sz val="12"/>
        <rFont val="Arial"/>
        <family val="2"/>
      </rPr>
      <t>A</t>
    </r>
    <r>
      <rPr>
        <sz val="12"/>
        <rFont val="Arial"/>
        <family val="2"/>
      </rPr>
      <t xml:space="preserve"> (cell E22) now needs to be split between Committed </t>
    </r>
    <r>
      <rPr>
        <b/>
        <sz val="12"/>
        <rFont val="Arial"/>
        <family val="2"/>
      </rPr>
      <t>L</t>
    </r>
    <r>
      <rPr>
        <sz val="12"/>
        <rFont val="Arial"/>
        <family val="2"/>
      </rPr>
      <t xml:space="preserve"> (Cell E26) and Non Committed </t>
    </r>
    <r>
      <rPr>
        <b/>
        <sz val="12"/>
        <rFont val="Arial"/>
        <family val="2"/>
      </rPr>
      <t>M</t>
    </r>
    <r>
      <rPr>
        <sz val="12"/>
        <rFont val="Arial"/>
        <family val="2"/>
      </rPr>
      <t xml:space="preserve"> (cell E27)</t>
    </r>
  </si>
  <si>
    <t>March 2026 Advance figures</t>
  </si>
  <si>
    <t>I06-01</t>
  </si>
  <si>
    <t>Section 2.1 and Tabs 4.1,4.2,4.3,4.4 - Only applicable if you exceed your BCM limit</t>
  </si>
  <si>
    <t>Instructions for completion of  Balances form.</t>
  </si>
  <si>
    <t>Section 1 (all schools complete)</t>
  </si>
  <si>
    <t>Section 3 (all schools complete)</t>
  </si>
  <si>
    <t>Version March 2026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</si>
</sst>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quot;£&quot;#,##0.00"/>
  </numFmts>
  <fonts count="39">
    <font>
      <sz val="12"/>
      <name val="Arial"/>
    </font>
    <font>
      <sz val="12"/>
      <name val="Arial"/>
      <family val="2"/>
    </font>
    <font>
      <b/>
      <sz val="14"/>
      <name val="Arial"/>
      <family val="2"/>
    </font>
    <font>
      <sz val="14"/>
      <name val="Arial"/>
      <family val="2"/>
    </font>
    <font>
      <b/>
      <sz val="16"/>
      <name val="Arial"/>
      <family val="2"/>
    </font>
    <font>
      <b/>
      <sz val="18"/>
      <name val="Arial"/>
      <family val="2"/>
    </font>
    <font>
      <sz val="12"/>
      <name val="Arial"/>
      <family val="2"/>
    </font>
    <font>
      <b/>
      <sz val="12"/>
      <name val="Arial"/>
      <family val="2"/>
    </font>
    <font>
      <sz val="10"/>
      <name val="Arial"/>
      <family val="2"/>
    </font>
    <font>
      <sz val="26"/>
      <name val="Arial"/>
      <family val="2"/>
    </font>
    <font>
      <sz val="12"/>
      <color theme="0"/>
      <name val="Arial"/>
      <family val="2"/>
    </font>
    <font>
      <sz val="14"/>
      <color theme="1"/>
      <name val="Arial"/>
      <family val="2"/>
    </font>
    <font>
      <b/>
      <sz val="14"/>
      <color rgb="FFFF0000"/>
      <name val="Arial"/>
      <family val="2"/>
    </font>
    <font>
      <sz val="16"/>
      <name val="Arial"/>
      <family val="2"/>
    </font>
    <font>
      <b/>
      <sz val="14"/>
      <color theme="1"/>
      <name val="Arial"/>
      <family val="2"/>
    </font>
    <font>
      <b/>
      <sz val="10"/>
      <color theme="0" tint="-0.249977111117893"/>
      <name val="Arial"/>
      <family val="2"/>
    </font>
    <font>
      <b/>
      <sz val="14"/>
      <color rgb="FFFF0000"/>
      <name val="Calibri"/>
      <family val="2"/>
      <scheme val="minor"/>
    </font>
    <font>
      <b/>
      <u/>
      <sz val="14"/>
      <name val="Arial"/>
      <family val="2"/>
    </font>
    <font>
      <b/>
      <u/>
      <sz val="12"/>
      <name val="Arial"/>
      <family val="2"/>
    </font>
    <font>
      <b/>
      <sz val="10"/>
      <name val="Arial"/>
      <family val="2"/>
    </font>
    <font>
      <b/>
      <sz val="12"/>
      <color rgb="FF202124"/>
      <name val="Arial"/>
      <family val="2"/>
    </font>
    <font>
      <b/>
      <sz val="12"/>
      <color rgb="FFFF0000"/>
      <name val="Arial"/>
      <family val="2"/>
    </font>
    <font>
      <sz val="12"/>
      <color rgb="FF000000"/>
      <name val="Arial"/>
      <family val="2"/>
    </font>
    <font>
      <sz val="12"/>
      <name val="Symbol"/>
      <family val="1"/>
      <charset val="2"/>
    </font>
    <font>
      <vertAlign val="superscript"/>
      <sz val="12"/>
      <name val="Arial"/>
      <family val="2"/>
    </font>
    <font>
      <sz val="12"/>
      <color rgb="FF0B0C0C"/>
      <name val="Arial"/>
      <family val="2"/>
    </font>
    <font>
      <b/>
      <u/>
      <sz val="12"/>
      <color rgb="FF000000"/>
      <name val="Arial"/>
      <family val="2"/>
    </font>
    <font>
      <u/>
      <sz val="12"/>
      <color theme="10"/>
      <name val="Arial"/>
      <family val="2"/>
    </font>
    <font>
      <u/>
      <sz val="18"/>
      <color theme="10"/>
      <name val="Calibri"/>
      <family val="2"/>
      <scheme val="minor"/>
    </font>
    <font>
      <sz val="11"/>
      <name val="Arial"/>
      <family val="2"/>
    </font>
    <font>
      <sz val="14"/>
      <color rgb="FF000000"/>
      <name val="Arial"/>
      <family val="2"/>
    </font>
    <font>
      <b/>
      <sz val="14"/>
      <color rgb="FF000000"/>
      <name val="Arial"/>
      <family val="2"/>
    </font>
    <font>
      <sz val="8"/>
      <name val="Arial"/>
      <family val="2"/>
    </font>
    <font>
      <sz val="12"/>
      <color theme="1"/>
      <name val="Arial"/>
      <family val="2"/>
    </font>
    <font>
      <b/>
      <sz val="12"/>
      <color theme="1"/>
      <name val="Arial"/>
      <family val="2"/>
    </font>
    <font>
      <sz val="14"/>
      <color rgb="FF000000"/>
      <name val="Arial"/>
      <family val="2"/>
    </font>
    <font>
      <b/>
      <sz val="16"/>
      <color rgb="FF000000"/>
      <name val="Arial"/>
      <family val="2"/>
    </font>
    <font>
      <b/>
      <sz val="12"/>
      <color rgb="FF000000"/>
      <name val="Arial"/>
      <family val="2"/>
    </font>
    <font>
      <sz val="12"/>
      <color rgb="FF000000"/>
      <name val="Arial"/>
      <family val="2"/>
    </font>
  </fonts>
  <fills count="25">
    <fill>
      <patternFill patternType="none"/>
    </fill>
    <fill>
      <patternFill patternType="gray125"/>
    </fill>
    <fill>
      <patternFill patternType="solid">
        <fgColor indexed="42"/>
        <bgColor indexed="64"/>
      </patternFill>
    </fill>
    <fill>
      <patternFill patternType="solid">
        <fgColor theme="6"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66FF33"/>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theme="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249977111117893"/>
        <bgColor indexed="64"/>
      </patternFill>
    </fill>
  </fills>
  <borders count="48">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s>
  <cellStyleXfs count="4">
    <xf numFmtId="0" fontId="0" fillId="0" borderId="0"/>
    <xf numFmtId="43" fontId="1" fillId="0" borderId="0" applyFont="0" applyFill="0" applyBorder="0" applyAlignment="0" applyProtection="0"/>
    <xf numFmtId="0" fontId="8" fillId="0" borderId="0"/>
    <xf numFmtId="0" fontId="27" fillId="0" borderId="0" applyNumberFormat="0" applyFill="0" applyBorder="0" applyAlignment="0" applyProtection="0"/>
  </cellStyleXfs>
  <cellXfs count="373">
    <xf numFmtId="0" fontId="0" fillId="0" borderId="0" xfId="0"/>
    <xf numFmtId="0" fontId="4" fillId="2" borderId="1" xfId="0" applyFont="1" applyFill="1" applyBorder="1" applyAlignment="1" applyProtection="1">
      <alignment horizontal="center" vertical="center"/>
      <protection locked="0"/>
    </xf>
    <xf numFmtId="2" fontId="0" fillId="0" borderId="0" xfId="0" applyNumberFormat="1"/>
    <xf numFmtId="0" fontId="6" fillId="0" borderId="0" xfId="0" applyFont="1"/>
    <xf numFmtId="4" fontId="6" fillId="0" borderId="0" xfId="0" applyNumberFormat="1" applyFont="1"/>
    <xf numFmtId="0" fontId="6"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center"/>
    </xf>
    <xf numFmtId="9" fontId="0" fillId="0" borderId="0" xfId="0" applyNumberFormat="1" applyAlignment="1">
      <alignment horizontal="center" vertical="center"/>
    </xf>
    <xf numFmtId="4" fontId="0" fillId="0" borderId="0" xfId="0" applyNumberFormat="1"/>
    <xf numFmtId="10" fontId="0" fillId="0" borderId="0" xfId="0" applyNumberFormat="1"/>
    <xf numFmtId="4" fontId="0" fillId="0" borderId="0" xfId="0" applyNumberFormat="1" applyAlignment="1">
      <alignment horizontal="center"/>
    </xf>
    <xf numFmtId="0" fontId="0" fillId="6" borderId="0" xfId="0" applyFill="1" applyAlignment="1">
      <alignment horizontal="center"/>
    </xf>
    <xf numFmtId="0" fontId="0" fillId="6" borderId="0" xfId="0" applyFill="1" applyAlignment="1">
      <alignment horizontal="center" vertical="center"/>
    </xf>
    <xf numFmtId="43" fontId="3" fillId="8" borderId="5" xfId="1" applyFont="1" applyFill="1" applyBorder="1" applyAlignment="1" applyProtection="1">
      <alignment horizontal="right" vertical="center"/>
      <protection locked="0"/>
    </xf>
    <xf numFmtId="43" fontId="3" fillId="9" borderId="5" xfId="1" applyFont="1" applyFill="1" applyBorder="1" applyAlignment="1" applyProtection="1">
      <alignment horizontal="right" vertical="center"/>
      <protection locked="0"/>
    </xf>
    <xf numFmtId="43" fontId="3" fillId="0" borderId="8" xfId="1" applyFont="1" applyBorder="1" applyAlignment="1" applyProtection="1">
      <alignment horizontal="right" vertical="center"/>
      <protection locked="0"/>
    </xf>
    <xf numFmtId="0" fontId="15" fillId="0" borderId="0" xfId="0" applyFont="1" applyAlignment="1">
      <alignment vertical="top"/>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vertical="center"/>
    </xf>
    <xf numFmtId="0" fontId="2" fillId="5" borderId="11" xfId="0" applyFont="1" applyFill="1" applyBorder="1" applyAlignment="1">
      <alignment horizontal="left" vertical="center"/>
    </xf>
    <xf numFmtId="0" fontId="2" fillId="5" borderId="12" xfId="0" applyFont="1" applyFill="1" applyBorder="1" applyAlignment="1">
      <alignment horizontal="center" vertical="top" wrapText="1"/>
    </xf>
    <xf numFmtId="0" fontId="2" fillId="0" borderId="15" xfId="0" applyFont="1" applyBorder="1" applyAlignment="1">
      <alignment horizontal="center" vertical="center"/>
    </xf>
    <xf numFmtId="0" fontId="2" fillId="0" borderId="0" xfId="0" applyFont="1" applyAlignment="1">
      <alignment horizontal="left" vertical="center"/>
    </xf>
    <xf numFmtId="0" fontId="3" fillId="0" borderId="0" xfId="0" applyFont="1" applyAlignment="1">
      <alignment horizontal="left" vertical="center"/>
    </xf>
    <xf numFmtId="0" fontId="2" fillId="0" borderId="14" xfId="0" applyFont="1" applyBorder="1" applyAlignment="1">
      <alignment horizontal="center" vertical="center"/>
    </xf>
    <xf numFmtId="0" fontId="2" fillId="8" borderId="16" xfId="0" applyFont="1" applyFill="1" applyBorder="1" applyAlignment="1">
      <alignment horizontal="center" vertical="center"/>
    </xf>
    <xf numFmtId="0" fontId="2" fillId="9" borderId="16" xfId="0" applyFont="1" applyFill="1" applyBorder="1" applyAlignment="1">
      <alignment horizontal="center" vertical="center"/>
    </xf>
    <xf numFmtId="0" fontId="2" fillId="0" borderId="17" xfId="0" applyFont="1" applyBorder="1" applyAlignment="1">
      <alignment horizontal="center" vertical="center"/>
    </xf>
    <xf numFmtId="43" fontId="3" fillId="5" borderId="7" xfId="1" applyFont="1" applyFill="1" applyBorder="1" applyAlignment="1" applyProtection="1">
      <alignment horizontal="right" vertical="center"/>
    </xf>
    <xf numFmtId="0" fontId="0" fillId="0" borderId="0" xfId="0" applyAlignment="1">
      <alignment vertical="center"/>
    </xf>
    <xf numFmtId="43" fontId="3" fillId="11" borderId="3" xfId="1" applyFont="1" applyFill="1" applyBorder="1" applyAlignment="1" applyProtection="1">
      <alignment horizontal="right" vertical="center"/>
    </xf>
    <xf numFmtId="0" fontId="2" fillId="0" borderId="0" xfId="0" applyFont="1" applyAlignment="1">
      <alignment horizontal="center" vertical="center"/>
    </xf>
    <xf numFmtId="43" fontId="3" fillId="0" borderId="0" xfId="1" applyFont="1" applyFill="1" applyBorder="1" applyAlignment="1" applyProtection="1">
      <alignment horizontal="right" vertical="center"/>
    </xf>
    <xf numFmtId="0" fontId="2" fillId="0" borderId="4" xfId="0" applyFont="1" applyBorder="1" applyAlignment="1">
      <alignment horizontal="center" vertical="center"/>
    </xf>
    <xf numFmtId="43" fontId="3" fillId="0" borderId="9" xfId="1" applyFont="1" applyBorder="1" applyAlignment="1" applyProtection="1">
      <alignment horizontal="center" vertical="center"/>
      <protection locked="0"/>
    </xf>
    <xf numFmtId="43" fontId="3" fillId="5" borderId="45" xfId="1" applyFont="1" applyFill="1" applyBorder="1" applyAlignment="1" applyProtection="1">
      <alignment horizontal="center" vertical="center"/>
    </xf>
    <xf numFmtId="43" fontId="3" fillId="5" borderId="10" xfId="1" applyFont="1" applyFill="1" applyBorder="1" applyAlignment="1" applyProtection="1">
      <alignment horizontal="right" vertical="center"/>
    </xf>
    <xf numFmtId="43" fontId="3" fillId="5" borderId="17" xfId="1" applyFont="1" applyFill="1" applyBorder="1" applyAlignment="1" applyProtection="1">
      <alignment horizontal="center" vertical="center"/>
    </xf>
    <xf numFmtId="0" fontId="17" fillId="0" borderId="0" xfId="0" applyFont="1"/>
    <xf numFmtId="0" fontId="1" fillId="0" borderId="0" xfId="0" applyFont="1"/>
    <xf numFmtId="0" fontId="18" fillId="0" borderId="0" xfId="0" applyFont="1"/>
    <xf numFmtId="0" fontId="8" fillId="0" borderId="0" xfId="0" applyFont="1"/>
    <xf numFmtId="0" fontId="19" fillId="0" borderId="0" xfId="0" applyFont="1"/>
    <xf numFmtId="0" fontId="20" fillId="0" borderId="0" xfId="0" applyFont="1"/>
    <xf numFmtId="0" fontId="21" fillId="0" borderId="0" xfId="0" applyFont="1"/>
    <xf numFmtId="0" fontId="1" fillId="0" borderId="0" xfId="0" applyFont="1" applyAlignment="1">
      <alignment vertical="center"/>
    </xf>
    <xf numFmtId="0" fontId="7" fillId="0" borderId="0" xfId="0" applyFont="1" applyAlignment="1">
      <alignment vertical="center"/>
    </xf>
    <xf numFmtId="0" fontId="23" fillId="0" borderId="0" xfId="0" applyFont="1" applyAlignment="1">
      <alignment horizontal="left" vertical="top" indent="4"/>
    </xf>
    <xf numFmtId="0" fontId="28" fillId="0" borderId="0" xfId="3" applyFont="1"/>
    <xf numFmtId="0" fontId="10" fillId="0" borderId="0" xfId="0" applyFont="1"/>
    <xf numFmtId="0" fontId="2" fillId="0" borderId="0" xfId="0" applyFont="1" applyAlignment="1">
      <alignment wrapText="1"/>
    </xf>
    <xf numFmtId="10" fontId="10" fillId="4" borderId="0" xfId="0" applyNumberFormat="1" applyFont="1" applyFill="1" applyAlignment="1">
      <alignment horizontal="center" vertical="center"/>
    </xf>
    <xf numFmtId="43" fontId="0" fillId="0" borderId="0" xfId="0" applyNumberFormat="1"/>
    <xf numFmtId="0" fontId="12"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left" vertical="center" wrapText="1"/>
    </xf>
    <xf numFmtId="0" fontId="3" fillId="0" borderId="0" xfId="0" applyFont="1"/>
    <xf numFmtId="0" fontId="6" fillId="0" borderId="0" xfId="0" applyFont="1" applyAlignment="1">
      <alignment shrinkToFit="1"/>
    </xf>
    <xf numFmtId="0" fontId="1" fillId="0" borderId="0" xfId="2" applyFont="1" applyAlignment="1">
      <alignment horizontal="left" vertical="top" shrinkToFit="1"/>
    </xf>
    <xf numFmtId="0" fontId="0" fillId="6" borderId="0" xfId="0" applyFill="1"/>
    <xf numFmtId="0" fontId="0" fillId="6" borderId="0" xfId="0" applyFill="1" applyAlignment="1">
      <alignment horizontal="center" vertical="center" wrapText="1"/>
    </xf>
    <xf numFmtId="0" fontId="1" fillId="0" borderId="0" xfId="0" applyFont="1" applyAlignment="1">
      <alignment vertical="center" wrapText="1"/>
    </xf>
    <xf numFmtId="14" fontId="0" fillId="0" borderId="0" xfId="0" applyNumberFormat="1"/>
    <xf numFmtId="0" fontId="1" fillId="13" borderId="0" xfId="0" applyFont="1" applyFill="1" applyAlignment="1">
      <alignment horizontal="left" vertical="center"/>
    </xf>
    <xf numFmtId="0" fontId="1" fillId="13" borderId="0" xfId="0" applyFont="1" applyFill="1"/>
    <xf numFmtId="4" fontId="1" fillId="6" borderId="0" xfId="2" applyNumberFormat="1" applyFont="1" applyFill="1" applyAlignment="1">
      <alignment horizontal="center" vertical="center" wrapText="1"/>
    </xf>
    <xf numFmtId="0" fontId="1" fillId="0" borderId="0" xfId="0" applyFont="1" applyAlignment="1">
      <alignment shrinkToFit="1"/>
    </xf>
    <xf numFmtId="4" fontId="1" fillId="6" borderId="0" xfId="0" applyNumberFormat="1" applyFont="1" applyFill="1"/>
    <xf numFmtId="0" fontId="1" fillId="6" borderId="0" xfId="0" applyFont="1" applyFill="1" applyAlignment="1">
      <alignment horizontal="center" vertical="center"/>
    </xf>
    <xf numFmtId="4" fontId="1" fillId="13" borderId="0" xfId="0" applyNumberFormat="1" applyFont="1" applyFill="1" applyAlignment="1">
      <alignment horizontal="center" vertical="center"/>
    </xf>
    <xf numFmtId="0" fontId="1" fillId="0" borderId="0" xfId="2" applyFont="1" applyAlignment="1">
      <alignment horizontal="left" vertical="center" wrapText="1"/>
    </xf>
    <xf numFmtId="0" fontId="1" fillId="0" borderId="0" xfId="2" applyFont="1" applyAlignment="1">
      <alignment horizontal="left" vertical="center" shrinkToFit="1"/>
    </xf>
    <xf numFmtId="4" fontId="1" fillId="6" borderId="0" xfId="2" applyNumberFormat="1" applyFont="1" applyFill="1" applyAlignment="1">
      <alignment horizontal="left" vertical="center" wrapText="1"/>
    </xf>
    <xf numFmtId="4" fontId="1" fillId="6" borderId="0" xfId="0" applyNumberFormat="1" applyFont="1" applyFill="1" applyAlignment="1">
      <alignment horizontal="center" vertical="center"/>
    </xf>
    <xf numFmtId="4" fontId="1" fillId="13" borderId="0" xfId="0" applyNumberFormat="1" applyFont="1" applyFill="1" applyAlignment="1">
      <alignment horizontal="left" vertical="center"/>
    </xf>
    <xf numFmtId="0" fontId="1" fillId="0" borderId="0" xfId="2" applyFont="1" applyAlignment="1">
      <alignment horizontal="center" vertical="top" wrapText="1"/>
    </xf>
    <xf numFmtId="164" fontId="1" fillId="0" borderId="0" xfId="0" applyNumberFormat="1" applyFont="1"/>
    <xf numFmtId="0" fontId="1" fillId="0" borderId="0" xfId="0" applyFont="1" applyAlignment="1">
      <alignment horizontal="center" vertical="center"/>
    </xf>
    <xf numFmtId="10" fontId="1" fillId="0" borderId="0" xfId="0" applyNumberFormat="1" applyFont="1" applyAlignment="1">
      <alignment horizontal="center" vertical="center"/>
    </xf>
    <xf numFmtId="3" fontId="1" fillId="0" borderId="0" xfId="0" applyNumberFormat="1" applyFont="1"/>
    <xf numFmtId="4" fontId="1" fillId="0" borderId="0" xfId="0" applyNumberFormat="1" applyFont="1"/>
    <xf numFmtId="0" fontId="1" fillId="0" borderId="0" xfId="2" applyFont="1" applyAlignment="1">
      <alignment horizontal="center"/>
    </xf>
    <xf numFmtId="0" fontId="1" fillId="0" borderId="0" xfId="0" applyFont="1" applyAlignment="1">
      <alignment horizontal="center"/>
    </xf>
    <xf numFmtId="0" fontId="5" fillId="0" borderId="0" xfId="0" applyFont="1" applyAlignment="1">
      <alignment horizontal="left" vertical="center"/>
    </xf>
    <xf numFmtId="164" fontId="0" fillId="7" borderId="0" xfId="0" applyNumberFormat="1" applyFill="1" applyAlignment="1" applyProtection="1">
      <alignment horizontal="center" vertical="center"/>
      <protection locked="0"/>
    </xf>
    <xf numFmtId="0" fontId="7" fillId="0" borderId="0" xfId="0" applyFont="1"/>
    <xf numFmtId="0" fontId="1" fillId="0" borderId="0" xfId="0" applyFont="1" applyAlignment="1">
      <alignment horizontal="left"/>
    </xf>
    <xf numFmtId="0" fontId="7" fillId="8" borderId="3" xfId="0" applyFont="1" applyFill="1" applyBorder="1" applyAlignment="1">
      <alignment vertical="center" wrapText="1"/>
    </xf>
    <xf numFmtId="0" fontId="5" fillId="0" borderId="0" xfId="0" applyFont="1" applyAlignment="1">
      <alignment vertical="center"/>
    </xf>
    <xf numFmtId="0" fontId="11" fillId="8" borderId="3" xfId="0" applyFont="1" applyFill="1" applyBorder="1" applyAlignment="1">
      <alignment horizontal="left" vertical="center" wrapText="1"/>
    </xf>
    <xf numFmtId="0" fontId="1" fillId="10" borderId="3" xfId="0" applyFont="1" applyFill="1" applyBorder="1" applyAlignment="1">
      <alignment vertical="top"/>
    </xf>
    <xf numFmtId="0" fontId="7" fillId="10" borderId="3" xfId="0" applyFont="1" applyFill="1" applyBorder="1"/>
    <xf numFmtId="0" fontId="1" fillId="10" borderId="3" xfId="0" applyFont="1" applyFill="1" applyBorder="1" applyAlignment="1">
      <alignment vertical="top" wrapText="1"/>
    </xf>
    <xf numFmtId="0" fontId="1" fillId="10" borderId="3" xfId="0" applyFont="1" applyFill="1" applyBorder="1"/>
    <xf numFmtId="0" fontId="1" fillId="10" borderId="3" xfId="0" applyFont="1" applyFill="1" applyBorder="1" applyAlignment="1">
      <alignment wrapText="1"/>
    </xf>
    <xf numFmtId="0" fontId="1" fillId="15" borderId="3" xfId="0" applyFont="1" applyFill="1" applyBorder="1" applyAlignment="1">
      <alignment vertical="top"/>
    </xf>
    <xf numFmtId="0" fontId="7" fillId="15" borderId="3" xfId="0" applyFont="1" applyFill="1" applyBorder="1"/>
    <xf numFmtId="0" fontId="1" fillId="15" borderId="3" xfId="0" applyFont="1" applyFill="1" applyBorder="1" applyAlignment="1">
      <alignment vertical="top" wrapText="1"/>
    </xf>
    <xf numFmtId="0" fontId="1" fillId="15" borderId="3" xfId="0" applyFont="1" applyFill="1" applyBorder="1"/>
    <xf numFmtId="0" fontId="1" fillId="15" borderId="3" xfId="0" applyFont="1" applyFill="1" applyBorder="1" applyAlignment="1">
      <alignment wrapText="1"/>
    </xf>
    <xf numFmtId="0" fontId="1" fillId="16" borderId="3" xfId="0" applyFont="1" applyFill="1" applyBorder="1" applyAlignment="1">
      <alignment vertical="top"/>
    </xf>
    <xf numFmtId="0" fontId="7" fillId="16" borderId="3" xfId="0" applyFont="1" applyFill="1" applyBorder="1"/>
    <xf numFmtId="0" fontId="1" fillId="16" borderId="3" xfId="0" applyFont="1" applyFill="1" applyBorder="1" applyAlignment="1">
      <alignment vertical="top" wrapText="1"/>
    </xf>
    <xf numFmtId="0" fontId="1" fillId="16" borderId="3" xfId="0" applyFont="1" applyFill="1" applyBorder="1"/>
    <xf numFmtId="0" fontId="1" fillId="16" borderId="3" xfId="0" applyFont="1" applyFill="1" applyBorder="1" applyAlignment="1">
      <alignment wrapText="1"/>
    </xf>
    <xf numFmtId="0" fontId="14" fillId="8" borderId="3" xfId="0" applyFont="1" applyFill="1" applyBorder="1" applyAlignment="1">
      <alignment horizontal="left" vertical="center" wrapText="1"/>
    </xf>
    <xf numFmtId="0" fontId="7" fillId="0" borderId="0" xfId="0" applyFont="1" applyAlignment="1">
      <alignment wrapText="1"/>
    </xf>
    <xf numFmtId="0" fontId="3" fillId="0" borderId="0" xfId="0" applyFont="1" applyAlignment="1">
      <alignment vertical="top"/>
    </xf>
    <xf numFmtId="0" fontId="0" fillId="0" borderId="0" xfId="0" applyAlignment="1">
      <alignment vertical="top"/>
    </xf>
    <xf numFmtId="0" fontId="7" fillId="0" borderId="0" xfId="0" applyFont="1" applyAlignment="1">
      <alignment vertical="center" wrapText="1"/>
    </xf>
    <xf numFmtId="0" fontId="7" fillId="18" borderId="3" xfId="0" applyFont="1" applyFill="1" applyBorder="1" applyAlignment="1">
      <alignment horizontal="left"/>
    </xf>
    <xf numFmtId="0" fontId="1" fillId="18" borderId="3" xfId="0" applyFont="1" applyFill="1" applyBorder="1" applyAlignment="1">
      <alignment horizontal="left" vertical="center" wrapText="1"/>
    </xf>
    <xf numFmtId="0" fontId="7" fillId="0" borderId="0" xfId="0" applyFont="1" applyAlignment="1">
      <alignment horizontal="left"/>
    </xf>
    <xf numFmtId="0" fontId="7" fillId="18" borderId="3" xfId="0" applyFont="1" applyFill="1" applyBorder="1" applyAlignment="1">
      <alignment vertical="top" wrapText="1"/>
    </xf>
    <xf numFmtId="0" fontId="7" fillId="18" borderId="3" xfId="0" applyFont="1" applyFill="1" applyBorder="1" applyAlignment="1">
      <alignment horizontal="left" vertical="top" wrapText="1"/>
    </xf>
    <xf numFmtId="0" fontId="7" fillId="18" borderId="3" xfId="0" applyFont="1" applyFill="1" applyBorder="1" applyAlignment="1">
      <alignment horizontal="right" vertical="top" wrapText="1"/>
    </xf>
    <xf numFmtId="0" fontId="3" fillId="0" borderId="0" xfId="0" applyFont="1" applyAlignment="1">
      <alignment vertical="top" wrapText="1"/>
    </xf>
    <xf numFmtId="0" fontId="0" fillId="0" borderId="0" xfId="0" applyAlignment="1">
      <alignment vertical="top" wrapText="1"/>
    </xf>
    <xf numFmtId="0" fontId="7" fillId="19" borderId="3" xfId="0" applyFont="1" applyFill="1" applyBorder="1"/>
    <xf numFmtId="15" fontId="1" fillId="19" borderId="3" xfId="0" applyNumberFormat="1" applyFont="1" applyFill="1" applyBorder="1" applyAlignment="1" applyProtection="1">
      <alignment horizontal="center" vertical="center" wrapText="1"/>
      <protection locked="0"/>
    </xf>
    <xf numFmtId="0" fontId="1" fillId="19" borderId="3" xfId="0" applyFont="1" applyFill="1" applyBorder="1"/>
    <xf numFmtId="0" fontId="7" fillId="19" borderId="3" xfId="0" applyFont="1" applyFill="1" applyBorder="1" applyAlignment="1" applyProtection="1">
      <alignment vertical="center" wrapText="1"/>
      <protection locked="0"/>
    </xf>
    <xf numFmtId="15" fontId="7" fillId="19" borderId="3" xfId="0" applyNumberFormat="1" applyFont="1" applyFill="1" applyBorder="1" applyAlignment="1" applyProtection="1">
      <alignment horizontal="center" vertical="center" wrapText="1"/>
      <protection locked="0"/>
    </xf>
    <xf numFmtId="0" fontId="1" fillId="8" borderId="0" xfId="0" applyFont="1" applyFill="1"/>
    <xf numFmtId="0" fontId="15" fillId="0" borderId="0" xfId="0" applyFont="1" applyAlignment="1">
      <alignment vertical="top" wrapText="1"/>
    </xf>
    <xf numFmtId="0" fontId="7" fillId="10" borderId="19" xfId="0" applyFont="1" applyFill="1" applyBorder="1" applyAlignment="1">
      <alignment horizontal="left" vertical="top"/>
    </xf>
    <xf numFmtId="0" fontId="7" fillId="10" borderId="5" xfId="0" applyFont="1" applyFill="1" applyBorder="1"/>
    <xf numFmtId="0" fontId="7" fillId="0" borderId="40" xfId="0" applyFont="1" applyBorder="1" applyAlignment="1">
      <alignment horizontal="left" vertical="top"/>
    </xf>
    <xf numFmtId="0" fontId="1" fillId="0" borderId="36" xfId="0" applyFont="1" applyBorder="1"/>
    <xf numFmtId="0" fontId="7" fillId="10" borderId="21" xfId="0" applyFont="1" applyFill="1" applyBorder="1" applyAlignment="1">
      <alignment horizontal="left" vertical="top"/>
    </xf>
    <xf numFmtId="0" fontId="1" fillId="10" borderId="6" xfId="0" applyFont="1" applyFill="1" applyBorder="1"/>
    <xf numFmtId="0" fontId="7" fillId="14" borderId="5" xfId="0" applyFont="1" applyFill="1" applyBorder="1"/>
    <xf numFmtId="0" fontId="7" fillId="16" borderId="19" xfId="0" applyFont="1" applyFill="1" applyBorder="1" applyAlignment="1">
      <alignment horizontal="left" vertical="top"/>
    </xf>
    <xf numFmtId="0" fontId="7" fillId="16" borderId="5" xfId="0" applyFont="1" applyFill="1" applyBorder="1"/>
    <xf numFmtId="0" fontId="7" fillId="16" borderId="21" xfId="0" applyFont="1" applyFill="1" applyBorder="1" applyAlignment="1">
      <alignment horizontal="left" vertical="top"/>
    </xf>
    <xf numFmtId="0" fontId="1" fillId="16" borderId="6" xfId="0" applyFont="1" applyFill="1" applyBorder="1"/>
    <xf numFmtId="0" fontId="7" fillId="15" borderId="19" xfId="0" applyFont="1" applyFill="1" applyBorder="1" applyAlignment="1">
      <alignment horizontal="left" vertical="top"/>
    </xf>
    <xf numFmtId="0" fontId="7" fillId="15" borderId="5" xfId="0" applyFont="1" applyFill="1" applyBorder="1"/>
    <xf numFmtId="0" fontId="7" fillId="15" borderId="21" xfId="0" applyFont="1" applyFill="1" applyBorder="1" applyAlignment="1">
      <alignment horizontal="left" vertical="top"/>
    </xf>
    <xf numFmtId="0" fontId="1" fillId="15" borderId="6" xfId="0" applyFont="1" applyFill="1" applyBorder="1"/>
    <xf numFmtId="0" fontId="34" fillId="14" borderId="19" xfId="0" applyFont="1" applyFill="1" applyBorder="1" applyAlignment="1">
      <alignment horizontal="left" vertical="top"/>
    </xf>
    <xf numFmtId="0" fontId="33" fillId="14" borderId="3" xfId="0" applyFont="1" applyFill="1" applyBorder="1" applyAlignment="1">
      <alignment vertical="top"/>
    </xf>
    <xf numFmtId="0" fontId="33" fillId="14" borderId="3" xfId="0" applyFont="1" applyFill="1" applyBorder="1" applyAlignment="1">
      <alignment vertical="top" wrapText="1"/>
    </xf>
    <xf numFmtId="0" fontId="33" fillId="14" borderId="3" xfId="0" applyFont="1" applyFill="1" applyBorder="1" applyAlignment="1">
      <alignment wrapText="1"/>
    </xf>
    <xf numFmtId="0" fontId="34" fillId="0" borderId="40" xfId="0" applyFont="1" applyBorder="1" applyAlignment="1">
      <alignment horizontal="left" vertical="top"/>
    </xf>
    <xf numFmtId="0" fontId="33" fillId="0" borderId="0" xfId="0" applyFont="1"/>
    <xf numFmtId="0" fontId="34" fillId="14" borderId="3" xfId="0" applyFont="1" applyFill="1" applyBorder="1"/>
    <xf numFmtId="0" fontId="33" fillId="14" borderId="3" xfId="0" applyFont="1" applyFill="1" applyBorder="1"/>
    <xf numFmtId="0" fontId="34" fillId="14" borderId="21" xfId="0" applyFont="1" applyFill="1" applyBorder="1" applyAlignment="1">
      <alignment horizontal="left" vertical="top"/>
    </xf>
    <xf numFmtId="0" fontId="33" fillId="14" borderId="6" xfId="0" applyFont="1" applyFill="1" applyBorder="1"/>
    <xf numFmtId="14" fontId="3" fillId="20" borderId="5" xfId="0" applyNumberFormat="1" applyFont="1" applyFill="1" applyBorder="1" applyAlignment="1" applyProtection="1">
      <alignment horizontal="right" vertical="top" wrapText="1"/>
      <protection locked="0"/>
    </xf>
    <xf numFmtId="14" fontId="3" fillId="20" borderId="5" xfId="0" applyNumberFormat="1" applyFont="1" applyFill="1" applyBorder="1" applyAlignment="1" applyProtection="1">
      <alignment vertical="top" wrapText="1"/>
      <protection locked="0"/>
    </xf>
    <xf numFmtId="0" fontId="7" fillId="0" borderId="0" xfId="0" applyFont="1" applyAlignment="1">
      <alignment horizontal="center" vertical="center"/>
    </xf>
    <xf numFmtId="0" fontId="1" fillId="20" borderId="3" xfId="0" applyFont="1" applyFill="1" applyBorder="1" applyAlignment="1" applyProtection="1">
      <alignment vertical="center" wrapText="1"/>
      <protection locked="0"/>
    </xf>
    <xf numFmtId="0" fontId="1" fillId="20" borderId="3" xfId="0" applyFont="1" applyFill="1" applyBorder="1" applyAlignment="1" applyProtection="1">
      <alignment vertical="top" wrapText="1"/>
      <protection locked="0"/>
    </xf>
    <xf numFmtId="43" fontId="1" fillId="20" borderId="3" xfId="0" applyNumberFormat="1" applyFont="1" applyFill="1" applyBorder="1" applyAlignment="1" applyProtection="1">
      <alignment vertical="center" wrapText="1"/>
      <protection locked="0"/>
    </xf>
    <xf numFmtId="43" fontId="3" fillId="18" borderId="9" xfId="1" applyFont="1" applyFill="1" applyBorder="1" applyAlignment="1" applyProtection="1">
      <alignment horizontal="right" vertical="center"/>
      <protection locked="0"/>
    </xf>
    <xf numFmtId="43" fontId="3" fillId="17" borderId="9" xfId="1" applyFont="1" applyFill="1" applyBorder="1" applyAlignment="1" applyProtection="1">
      <alignment horizontal="right" vertical="center"/>
      <protection locked="0"/>
    </xf>
    <xf numFmtId="0" fontId="2" fillId="17" borderId="37" xfId="0" applyFont="1" applyFill="1" applyBorder="1" applyAlignment="1">
      <alignment horizontal="center" vertical="center"/>
    </xf>
    <xf numFmtId="0" fontId="2" fillId="18" borderId="16" xfId="0" applyFont="1" applyFill="1" applyBorder="1" applyAlignment="1">
      <alignment horizontal="center" vertical="center"/>
    </xf>
    <xf numFmtId="0" fontId="7" fillId="17" borderId="3" xfId="0" applyFont="1" applyFill="1" applyBorder="1" applyAlignment="1">
      <alignment vertical="center" wrapText="1"/>
    </xf>
    <xf numFmtId="0" fontId="11" fillId="17" borderId="3" xfId="0" applyFont="1" applyFill="1" applyBorder="1" applyAlignment="1">
      <alignment horizontal="left" vertical="center" wrapText="1"/>
    </xf>
    <xf numFmtId="0" fontId="14" fillId="17" borderId="3" xfId="0" applyFont="1" applyFill="1" applyBorder="1" applyAlignment="1">
      <alignment horizontal="left" vertical="center" wrapText="1"/>
    </xf>
    <xf numFmtId="0" fontId="1" fillId="21" borderId="0" xfId="0" applyFont="1" applyFill="1"/>
    <xf numFmtId="0" fontId="7" fillId="22" borderId="19" xfId="0" applyFont="1" applyFill="1" applyBorder="1" applyAlignment="1">
      <alignment horizontal="left" vertical="top"/>
    </xf>
    <xf numFmtId="0" fontId="1" fillId="22" borderId="3" xfId="0" applyFont="1" applyFill="1" applyBorder="1" applyAlignment="1">
      <alignment vertical="top"/>
    </xf>
    <xf numFmtId="0" fontId="1" fillId="22" borderId="3" xfId="0" applyFont="1" applyFill="1" applyBorder="1" applyAlignment="1">
      <alignment vertical="top" wrapText="1"/>
    </xf>
    <xf numFmtId="0" fontId="1" fillId="3" borderId="3" xfId="0" applyFont="1" applyFill="1" applyBorder="1" applyAlignment="1">
      <alignment vertical="top"/>
    </xf>
    <xf numFmtId="0" fontId="1" fillId="3" borderId="3" xfId="0" applyFont="1" applyFill="1" applyBorder="1" applyAlignment="1">
      <alignment vertical="top" wrapText="1"/>
    </xf>
    <xf numFmtId="0" fontId="7" fillId="22" borderId="21" xfId="0" applyFont="1" applyFill="1" applyBorder="1" applyAlignment="1">
      <alignment horizontal="left" vertical="top"/>
    </xf>
    <xf numFmtId="0" fontId="1" fillId="22" borderId="6" xfId="0" applyFont="1" applyFill="1" applyBorder="1" applyAlignment="1">
      <alignment vertical="top" wrapText="1"/>
    </xf>
    <xf numFmtId="0" fontId="1" fillId="3" borderId="6" xfId="0" applyFont="1" applyFill="1" applyBorder="1" applyAlignment="1">
      <alignment vertical="top" wrapText="1"/>
    </xf>
    <xf numFmtId="0" fontId="34" fillId="3" borderId="19" xfId="0" applyFont="1" applyFill="1" applyBorder="1" applyAlignment="1">
      <alignment horizontal="left" vertical="top"/>
    </xf>
    <xf numFmtId="0" fontId="34" fillId="3" borderId="21" xfId="0" applyFont="1" applyFill="1" applyBorder="1" applyAlignment="1">
      <alignment horizontal="left" vertical="top"/>
    </xf>
    <xf numFmtId="0" fontId="7" fillId="23" borderId="19" xfId="0" applyFont="1" applyFill="1" applyBorder="1" applyAlignment="1">
      <alignment horizontal="left" vertical="top"/>
    </xf>
    <xf numFmtId="0" fontId="1" fillId="23" borderId="3" xfId="0" applyFont="1" applyFill="1" applyBorder="1" applyAlignment="1">
      <alignment vertical="top"/>
    </xf>
    <xf numFmtId="0" fontId="1" fillId="23" borderId="3" xfId="0" applyFont="1" applyFill="1" applyBorder="1" applyAlignment="1">
      <alignment vertical="top" wrapText="1"/>
    </xf>
    <xf numFmtId="0" fontId="1" fillId="23" borderId="6" xfId="0" applyFont="1" applyFill="1" applyBorder="1" applyAlignment="1">
      <alignment vertical="top" wrapText="1"/>
    </xf>
    <xf numFmtId="0" fontId="7" fillId="24" borderId="19" xfId="0" applyFont="1" applyFill="1" applyBorder="1" applyAlignment="1">
      <alignment horizontal="left" vertical="top"/>
    </xf>
    <xf numFmtId="0" fontId="1" fillId="24" borderId="3" xfId="0" applyFont="1" applyFill="1" applyBorder="1" applyAlignment="1">
      <alignment vertical="top"/>
    </xf>
    <xf numFmtId="0" fontId="1" fillId="24" borderId="3" xfId="0" applyFont="1" applyFill="1" applyBorder="1" applyAlignment="1">
      <alignment vertical="top" wrapText="1"/>
    </xf>
    <xf numFmtId="0" fontId="7" fillId="24" borderId="21" xfId="0" applyFont="1" applyFill="1" applyBorder="1" applyAlignment="1">
      <alignment horizontal="left" vertical="top"/>
    </xf>
    <xf numFmtId="0" fontId="1" fillId="24" borderId="6" xfId="0" applyFont="1" applyFill="1" applyBorder="1" applyAlignment="1">
      <alignment vertical="top" wrapText="1"/>
    </xf>
    <xf numFmtId="14" fontId="3" fillId="20" borderId="7" xfId="0" applyNumberFormat="1" applyFont="1" applyFill="1" applyBorder="1" applyAlignment="1" applyProtection="1">
      <alignment horizontal="right" vertical="top" wrapText="1"/>
      <protection locked="0"/>
    </xf>
    <xf numFmtId="0" fontId="7" fillId="20" borderId="5" xfId="0" applyFont="1" applyFill="1" applyBorder="1" applyAlignment="1" applyProtection="1">
      <alignment horizontal="left" vertical="top"/>
      <protection locked="0"/>
    </xf>
    <xf numFmtId="43" fontId="3" fillId="20" borderId="5" xfId="1" applyFont="1" applyFill="1" applyBorder="1" applyAlignment="1" applyProtection="1">
      <alignment horizontal="right" vertical="top"/>
      <protection locked="0"/>
    </xf>
    <xf numFmtId="43" fontId="3" fillId="20" borderId="3" xfId="1" applyFont="1" applyFill="1" applyBorder="1" applyAlignment="1" applyProtection="1">
      <alignment horizontal="right" vertical="center"/>
      <protection locked="0"/>
    </xf>
    <xf numFmtId="43" fontId="3" fillId="20" borderId="8" xfId="1" applyFont="1" applyFill="1" applyBorder="1" applyAlignment="1" applyProtection="1">
      <alignment horizontal="right" vertical="top"/>
      <protection locked="0"/>
    </xf>
    <xf numFmtId="0" fontId="1" fillId="20" borderId="5" xfId="0" applyFont="1" applyFill="1" applyBorder="1" applyAlignment="1" applyProtection="1">
      <alignment horizontal="right" vertical="top"/>
      <protection locked="0"/>
    </xf>
    <xf numFmtId="0" fontId="7" fillId="20" borderId="5" xfId="0" applyFont="1" applyFill="1" applyBorder="1" applyAlignment="1" applyProtection="1">
      <alignment horizontal="right" vertical="top"/>
      <protection locked="0"/>
    </xf>
    <xf numFmtId="0" fontId="7" fillId="20" borderId="5" xfId="0" applyFont="1" applyFill="1" applyBorder="1" applyAlignment="1" applyProtection="1">
      <alignment horizontal="left"/>
      <protection locked="0"/>
    </xf>
    <xf numFmtId="0" fontId="7" fillId="20" borderId="7" xfId="0" applyFont="1" applyFill="1" applyBorder="1" applyAlignment="1" applyProtection="1">
      <alignment horizontal="left"/>
      <protection locked="0"/>
    </xf>
    <xf numFmtId="43" fontId="3" fillId="20" borderId="8" xfId="1" applyFont="1" applyFill="1" applyBorder="1" applyAlignment="1" applyProtection="1">
      <alignment vertical="top"/>
      <protection locked="0"/>
    </xf>
    <xf numFmtId="0" fontId="1" fillId="20" borderId="5" xfId="0" applyFont="1" applyFill="1" applyBorder="1" applyAlignment="1" applyProtection="1">
      <alignment horizontal="left" vertical="top"/>
      <protection locked="0"/>
    </xf>
    <xf numFmtId="0" fontId="7" fillId="20" borderId="7" xfId="0" applyFont="1" applyFill="1" applyBorder="1" applyAlignment="1" applyProtection="1">
      <alignment horizontal="left" vertical="top"/>
      <protection locked="0"/>
    </xf>
    <xf numFmtId="0" fontId="7" fillId="17" borderId="3" xfId="0" applyFont="1" applyFill="1" applyBorder="1" applyAlignment="1" applyProtection="1">
      <alignment vertical="center" wrapText="1"/>
      <protection hidden="1"/>
    </xf>
    <xf numFmtId="0" fontId="7" fillId="17" borderId="3" xfId="0" applyFont="1" applyFill="1" applyBorder="1" applyAlignment="1" applyProtection="1">
      <alignment horizontal="right" vertical="center" wrapText="1"/>
      <protection hidden="1"/>
    </xf>
    <xf numFmtId="0" fontId="1" fillId="17" borderId="3" xfId="0" applyFont="1" applyFill="1" applyBorder="1" applyAlignment="1" applyProtection="1">
      <alignment vertical="center" wrapText="1"/>
      <protection hidden="1"/>
    </xf>
    <xf numFmtId="43" fontId="3" fillId="17" borderId="3" xfId="1" applyFont="1" applyFill="1" applyBorder="1" applyAlignment="1" applyProtection="1">
      <alignment horizontal="right" vertical="center"/>
      <protection hidden="1"/>
    </xf>
    <xf numFmtId="14" fontId="3" fillId="17" borderId="3" xfId="0" applyNumberFormat="1" applyFont="1" applyFill="1" applyBorder="1" applyAlignment="1" applyProtection="1">
      <alignment horizontal="center" vertical="center" wrapText="1"/>
      <protection hidden="1"/>
    </xf>
    <xf numFmtId="0" fontId="7" fillId="19" borderId="3" xfId="0" applyFont="1" applyFill="1" applyBorder="1" applyAlignment="1" applyProtection="1">
      <alignment vertical="center" wrapText="1"/>
      <protection hidden="1"/>
    </xf>
    <xf numFmtId="43" fontId="2" fillId="17" borderId="3" xfId="1" applyFont="1" applyFill="1" applyBorder="1" applyAlignment="1" applyProtection="1">
      <alignment horizontal="right" vertical="center"/>
      <protection hidden="1"/>
    </xf>
    <xf numFmtId="14" fontId="2" fillId="19" borderId="3" xfId="0" applyNumberFormat="1" applyFont="1" applyFill="1" applyBorder="1" applyAlignment="1" applyProtection="1">
      <alignment horizontal="center" vertical="center" wrapText="1"/>
      <protection hidden="1"/>
    </xf>
    <xf numFmtId="164" fontId="3" fillId="18" borderId="3" xfId="1" applyNumberFormat="1" applyFont="1" applyFill="1" applyBorder="1" applyAlignment="1" applyProtection="1">
      <alignment horizontal="right" vertical="center"/>
      <protection hidden="1"/>
    </xf>
    <xf numFmtId="0" fontId="7" fillId="8" borderId="3" xfId="0" applyFont="1" applyFill="1" applyBorder="1" applyAlignment="1" applyProtection="1">
      <alignment vertical="center" wrapText="1"/>
      <protection hidden="1"/>
    </xf>
    <xf numFmtId="0" fontId="7" fillId="8" borderId="3" xfId="0" applyFont="1" applyFill="1" applyBorder="1" applyAlignment="1" applyProtection="1">
      <alignment horizontal="right" vertical="center" wrapText="1"/>
      <protection hidden="1"/>
    </xf>
    <xf numFmtId="0" fontId="1" fillId="8" borderId="3" xfId="0" applyFont="1" applyFill="1" applyBorder="1" applyAlignment="1" applyProtection="1">
      <alignment vertical="center" wrapText="1"/>
      <protection hidden="1"/>
    </xf>
    <xf numFmtId="164" fontId="3" fillId="8" borderId="3" xfId="1" applyNumberFormat="1" applyFont="1" applyFill="1" applyBorder="1" applyAlignment="1" applyProtection="1">
      <alignment horizontal="right" vertical="center"/>
      <protection hidden="1"/>
    </xf>
    <xf numFmtId="14" fontId="3" fillId="8" borderId="3" xfId="0" applyNumberFormat="1" applyFont="1" applyFill="1" applyBorder="1" applyAlignment="1" applyProtection="1">
      <alignment horizontal="center" vertical="center" wrapText="1"/>
      <protection hidden="1"/>
    </xf>
    <xf numFmtId="164" fontId="2" fillId="8" borderId="3" xfId="1" applyNumberFormat="1" applyFont="1" applyFill="1" applyBorder="1" applyAlignment="1" applyProtection="1">
      <alignment horizontal="right" vertical="center"/>
      <protection hidden="1"/>
    </xf>
    <xf numFmtId="0" fontId="2" fillId="0" borderId="4" xfId="0" applyFont="1" applyBorder="1" applyAlignment="1" applyProtection="1">
      <alignment horizontal="center" vertical="center"/>
      <protection hidden="1"/>
    </xf>
    <xf numFmtId="0" fontId="2" fillId="0" borderId="15" xfId="0" applyFont="1" applyBorder="1" applyAlignment="1" applyProtection="1">
      <alignment horizontal="center" vertical="center"/>
      <protection hidden="1"/>
    </xf>
    <xf numFmtId="43" fontId="3" fillId="5" borderId="5" xfId="1" applyFont="1" applyFill="1" applyBorder="1" applyAlignment="1" applyProtection="1">
      <alignment horizontal="right" vertical="center"/>
      <protection hidden="1"/>
    </xf>
    <xf numFmtId="0" fontId="2" fillId="0" borderId="3" xfId="0" applyFont="1" applyBorder="1" applyAlignment="1" applyProtection="1">
      <alignment horizontal="center" vertical="center"/>
      <protection hidden="1"/>
    </xf>
    <xf numFmtId="0" fontId="2" fillId="0" borderId="0" xfId="0" applyFont="1" applyAlignment="1" applyProtection="1">
      <alignment horizontal="left" vertical="center"/>
      <protection hidden="1"/>
    </xf>
    <xf numFmtId="0" fontId="3" fillId="0" borderId="0" xfId="0" applyFont="1" applyAlignment="1" applyProtection="1">
      <alignment horizontal="left" vertical="center"/>
      <protection hidden="1"/>
    </xf>
    <xf numFmtId="4" fontId="3" fillId="0" borderId="0" xfId="0" applyNumberFormat="1" applyFont="1" applyAlignment="1" applyProtection="1">
      <alignment horizontal="right" vertical="center"/>
      <protection hidden="1"/>
    </xf>
    <xf numFmtId="0" fontId="2" fillId="5" borderId="13" xfId="0" applyFont="1" applyFill="1" applyBorder="1" applyAlignment="1" applyProtection="1">
      <alignment vertical="center"/>
      <protection hidden="1"/>
    </xf>
    <xf numFmtId="4" fontId="2" fillId="5" borderId="10" xfId="0" applyNumberFormat="1" applyFont="1" applyFill="1" applyBorder="1" applyAlignment="1" applyProtection="1">
      <alignment horizontal="center" vertical="center" wrapText="1"/>
      <protection hidden="1"/>
    </xf>
    <xf numFmtId="43" fontId="3" fillId="5" borderId="8" xfId="1" applyFont="1" applyFill="1" applyBorder="1" applyAlignment="1" applyProtection="1">
      <alignment horizontal="right" vertical="center"/>
      <protection hidden="1"/>
    </xf>
    <xf numFmtId="0" fontId="2" fillId="0" borderId="14" xfId="0" applyFont="1" applyBorder="1" applyAlignment="1" applyProtection="1">
      <alignment horizontal="center" vertical="center"/>
      <protection hidden="1"/>
    </xf>
    <xf numFmtId="43" fontId="3" fillId="5" borderId="9" xfId="1" applyFont="1" applyFill="1" applyBorder="1" applyAlignment="1" applyProtection="1">
      <alignment horizontal="right" vertical="center"/>
      <protection hidden="1"/>
    </xf>
    <xf numFmtId="0" fontId="12" fillId="0" borderId="0" xfId="0" applyFont="1" applyAlignment="1" applyProtection="1">
      <alignment horizontal="left" vertical="center" wrapText="1"/>
      <protection hidden="1"/>
    </xf>
    <xf numFmtId="0" fontId="14" fillId="0" borderId="0" xfId="0" applyFont="1" applyAlignment="1" applyProtection="1">
      <alignment horizontal="center" vertical="center" wrapText="1"/>
      <protection hidden="1"/>
    </xf>
    <xf numFmtId="0" fontId="12" fillId="0" borderId="40" xfId="0" applyFont="1" applyBorder="1" applyAlignment="1" applyProtection="1">
      <alignment vertical="center"/>
      <protection hidden="1"/>
    </xf>
    <xf numFmtId="0" fontId="12" fillId="0" borderId="0" xfId="0" applyFont="1" applyAlignment="1" applyProtection="1">
      <alignment vertical="center"/>
      <protection hidden="1"/>
    </xf>
    <xf numFmtId="0" fontId="12" fillId="0" borderId="0" xfId="0" applyFont="1" applyAlignment="1" applyProtection="1">
      <alignment vertical="center" wrapText="1"/>
      <protection hidden="1"/>
    </xf>
    <xf numFmtId="0" fontId="2" fillId="0" borderId="0" xfId="0" applyFont="1" applyAlignment="1" applyProtection="1">
      <alignment vertical="center"/>
      <protection hidden="1"/>
    </xf>
    <xf numFmtId="43" fontId="16" fillId="0" borderId="0" xfId="0" applyNumberFormat="1" applyFont="1" applyAlignment="1" applyProtection="1">
      <alignment horizontal="left" vertical="center"/>
      <protection hidden="1"/>
    </xf>
    <xf numFmtId="0" fontId="0" fillId="0" borderId="0" xfId="0" applyProtection="1">
      <protection hidden="1"/>
    </xf>
    <xf numFmtId="43" fontId="3" fillId="5" borderId="7" xfId="1" applyFont="1" applyFill="1" applyBorder="1" applyAlignment="1" applyProtection="1">
      <alignment horizontal="right" vertical="center"/>
      <protection hidden="1"/>
    </xf>
    <xf numFmtId="0" fontId="2" fillId="9" borderId="0" xfId="0" applyFont="1" applyFill="1" applyAlignment="1">
      <alignment horizontal="left" vertical="center" wrapText="1"/>
    </xf>
    <xf numFmtId="0" fontId="1" fillId="0" borderId="0" xfId="0" applyFont="1" applyAlignment="1">
      <alignment horizontal="left" vertical="top" wrapText="1"/>
    </xf>
    <xf numFmtId="0" fontId="0" fillId="0" borderId="0" xfId="0" applyAlignment="1">
      <alignment horizontal="left" vertical="top"/>
    </xf>
    <xf numFmtId="0" fontId="26" fillId="0" borderId="0" xfId="0" applyFont="1" applyAlignment="1">
      <alignment horizontal="left" vertical="top"/>
    </xf>
    <xf numFmtId="0" fontId="18" fillId="0" borderId="0" xfId="0" applyFont="1" applyAlignment="1">
      <alignment horizontal="left" vertical="top"/>
    </xf>
    <xf numFmtId="0" fontId="1" fillId="0" borderId="0" xfId="0" applyFont="1" applyAlignment="1">
      <alignment horizontal="left" vertical="top"/>
    </xf>
    <xf numFmtId="0" fontId="7" fillId="0" borderId="0" xfId="0" applyFont="1" applyAlignment="1">
      <alignment horizontal="left" vertical="top"/>
    </xf>
    <xf numFmtId="0" fontId="1" fillId="0" borderId="0" xfId="0" applyFont="1" applyAlignment="1">
      <alignment horizontal="left" vertical="top" indent="4"/>
    </xf>
    <xf numFmtId="0" fontId="1" fillId="0" borderId="0" xfId="0" applyFont="1" applyAlignment="1">
      <alignment horizontal="left" vertical="top" indent="6"/>
    </xf>
    <xf numFmtId="0" fontId="25" fillId="0" borderId="0" xfId="0" applyFont="1" applyAlignment="1">
      <alignment horizontal="left" vertical="top" indent="6"/>
    </xf>
    <xf numFmtId="0" fontId="1" fillId="0" borderId="0" xfId="0" applyFont="1" applyAlignment="1">
      <alignment horizontal="left" vertical="top" wrapText="1" indent="4"/>
    </xf>
    <xf numFmtId="0" fontId="0" fillId="0" borderId="0" xfId="0" applyAlignment="1">
      <alignment horizontal="left" vertical="top" wrapText="1"/>
    </xf>
    <xf numFmtId="0" fontId="7" fillId="9" borderId="3" xfId="0" applyFont="1" applyFill="1" applyBorder="1" applyAlignment="1" applyProtection="1">
      <alignment horizontal="left" vertical="top" wrapText="1"/>
      <protection locked="0"/>
    </xf>
    <xf numFmtId="0" fontId="7" fillId="9" borderId="3" xfId="0" applyFont="1" applyFill="1" applyBorder="1" applyAlignment="1" applyProtection="1">
      <alignment vertical="top" wrapText="1"/>
      <protection locked="0"/>
    </xf>
    <xf numFmtId="0" fontId="7" fillId="9" borderId="3" xfId="0" applyFont="1" applyFill="1" applyBorder="1" applyAlignment="1" applyProtection="1">
      <alignment vertical="top"/>
      <protection locked="0"/>
    </xf>
    <xf numFmtId="0" fontId="7" fillId="9" borderId="3" xfId="0" applyFont="1" applyFill="1" applyBorder="1" applyAlignment="1" applyProtection="1">
      <alignment horizontal="center" vertical="top" wrapText="1"/>
      <protection locked="0"/>
    </xf>
    <xf numFmtId="0" fontId="1" fillId="9" borderId="3" xfId="0" applyFont="1" applyFill="1" applyBorder="1" applyAlignment="1" applyProtection="1">
      <alignment horizontal="left" vertical="center" wrapText="1"/>
      <protection locked="0"/>
    </xf>
    <xf numFmtId="43" fontId="1" fillId="9" borderId="3" xfId="0" applyNumberFormat="1" applyFont="1" applyFill="1" applyBorder="1" applyAlignment="1" applyProtection="1">
      <alignment vertical="center" wrapText="1"/>
      <protection locked="0" hidden="1"/>
    </xf>
    <xf numFmtId="0" fontId="7" fillId="9" borderId="3" xfId="0" applyFont="1" applyFill="1" applyBorder="1" applyAlignment="1" applyProtection="1">
      <alignment horizontal="left" vertical="center" wrapText="1"/>
      <protection locked="0"/>
    </xf>
    <xf numFmtId="0" fontId="7" fillId="19" borderId="3" xfId="0" applyFont="1" applyFill="1" applyBorder="1" applyProtection="1">
      <protection locked="0"/>
    </xf>
    <xf numFmtId="43" fontId="7" fillId="9" borderId="3" xfId="1" applyFont="1" applyFill="1" applyBorder="1" applyAlignment="1" applyProtection="1">
      <alignment horizontal="right" vertical="center" wrapText="1"/>
      <protection locked="0" hidden="1"/>
    </xf>
    <xf numFmtId="0" fontId="7" fillId="0" borderId="0" xfId="0" applyFont="1" applyAlignment="1" applyProtection="1">
      <alignment horizontal="right" vertical="center" wrapText="1"/>
      <protection hidden="1"/>
    </xf>
    <xf numFmtId="0" fontId="7" fillId="0" borderId="0" xfId="0" applyFont="1" applyAlignment="1">
      <alignment horizontal="right"/>
    </xf>
    <xf numFmtId="43" fontId="3" fillId="0" borderId="9" xfId="1" applyFont="1" applyBorder="1" applyAlignment="1" applyProtection="1">
      <alignment horizontal="right" vertical="center"/>
      <protection locked="0" hidden="1"/>
    </xf>
    <xf numFmtId="0" fontId="1" fillId="0" borderId="0" xfId="0" applyFont="1" applyAlignment="1">
      <alignment horizontal="left" vertical="top" wrapText="1"/>
    </xf>
    <xf numFmtId="0" fontId="17" fillId="0" borderId="0" xfId="0" applyFont="1" applyAlignment="1">
      <alignment horizontal="left" vertical="top"/>
    </xf>
    <xf numFmtId="0" fontId="22" fillId="0" borderId="0" xfId="0" applyFont="1" applyAlignment="1">
      <alignment horizontal="left" vertical="top" wrapText="1"/>
    </xf>
    <xf numFmtId="0" fontId="22" fillId="0" borderId="0" xfId="0" applyFont="1" applyAlignment="1">
      <alignment vertical="top" wrapText="1"/>
    </xf>
    <xf numFmtId="0" fontId="1" fillId="0" borderId="0" xfId="0" applyFont="1" applyAlignment="1">
      <alignment horizontal="left" vertical="top"/>
    </xf>
    <xf numFmtId="0" fontId="37" fillId="0" borderId="0" xfId="0" applyFont="1" applyAlignment="1">
      <alignment horizontal="left" vertical="top" wrapText="1"/>
    </xf>
    <xf numFmtId="0" fontId="38" fillId="0" borderId="0" xfId="0" applyFont="1" applyAlignment="1">
      <alignment horizontal="left" vertical="top" wrapText="1"/>
    </xf>
    <xf numFmtId="0" fontId="4" fillId="0" borderId="0" xfId="0" applyFont="1" applyAlignment="1">
      <alignment horizontal="right" vertical="center"/>
    </xf>
    <xf numFmtId="0" fontId="4" fillId="0" borderId="36" xfId="0" applyFont="1" applyBorder="1" applyAlignment="1">
      <alignment horizontal="right" vertical="center"/>
    </xf>
    <xf numFmtId="0" fontId="35" fillId="0" borderId="28" xfId="0" applyFont="1" applyBorder="1" applyAlignment="1" applyProtection="1">
      <alignment horizontal="left" vertical="center" wrapText="1"/>
      <protection hidden="1"/>
    </xf>
    <xf numFmtId="0" fontId="3" fillId="0" borderId="37" xfId="0" applyFont="1" applyBorder="1" applyAlignment="1" applyProtection="1">
      <alignment horizontal="left" vertical="center" wrapText="1"/>
      <protection hidden="1"/>
    </xf>
    <xf numFmtId="0" fontId="3" fillId="0" borderId="29" xfId="0" applyFont="1" applyBorder="1" applyAlignment="1" applyProtection="1">
      <alignment horizontal="left" vertical="center" wrapText="1"/>
      <protection hidden="1"/>
    </xf>
    <xf numFmtId="0" fontId="5" fillId="4" borderId="22" xfId="0" applyFont="1" applyFill="1" applyBorder="1" applyAlignment="1">
      <alignment horizontal="center" vertical="center"/>
    </xf>
    <xf numFmtId="0" fontId="5" fillId="0" borderId="0" xfId="0" applyFont="1" applyAlignment="1">
      <alignment horizontal="left" vertical="center"/>
    </xf>
    <xf numFmtId="0" fontId="4" fillId="7" borderId="38" xfId="0" applyFont="1" applyFill="1" applyBorder="1" applyAlignment="1">
      <alignment horizontal="left" vertical="center" wrapText="1"/>
    </xf>
    <xf numFmtId="0" fontId="4" fillId="7" borderId="2" xfId="0" applyFont="1" applyFill="1" applyBorder="1" applyAlignment="1">
      <alignment horizontal="left" vertical="center" wrapText="1"/>
    </xf>
    <xf numFmtId="0" fontId="3" fillId="0" borderId="23" xfId="0" applyFont="1" applyBorder="1" applyAlignment="1" applyProtection="1">
      <alignment horizontal="left" vertical="center" wrapText="1"/>
      <protection hidden="1"/>
    </xf>
    <xf numFmtId="0" fontId="3" fillId="0" borderId="16" xfId="0" applyFont="1" applyBorder="1" applyAlignment="1" applyProtection="1">
      <alignment horizontal="left" vertical="center"/>
      <protection hidden="1"/>
    </xf>
    <xf numFmtId="0" fontId="3" fillId="0" borderId="24" xfId="0" applyFont="1" applyBorder="1" applyAlignment="1" applyProtection="1">
      <alignment horizontal="left" vertical="center"/>
      <protection hidden="1"/>
    </xf>
    <xf numFmtId="0" fontId="3" fillId="0" borderId="23" xfId="0" applyFont="1" applyBorder="1" applyAlignment="1" applyProtection="1">
      <alignment horizontal="left" vertical="center"/>
      <protection hidden="1"/>
    </xf>
    <xf numFmtId="0" fontId="2" fillId="7" borderId="23" xfId="0" applyFont="1" applyFill="1" applyBorder="1" applyAlignment="1" applyProtection="1">
      <alignment horizontal="left" vertical="center" wrapText="1"/>
      <protection hidden="1"/>
    </xf>
    <xf numFmtId="0" fontId="2" fillId="7" borderId="16" xfId="0" applyFont="1" applyFill="1" applyBorder="1" applyAlignment="1" applyProtection="1">
      <alignment horizontal="left" vertical="center" wrapText="1"/>
      <protection hidden="1"/>
    </xf>
    <xf numFmtId="0" fontId="2" fillId="7" borderId="18" xfId="0" applyFont="1" applyFill="1" applyBorder="1" applyAlignment="1" applyProtection="1">
      <alignment horizontal="left" vertical="center" wrapText="1"/>
      <protection hidden="1"/>
    </xf>
    <xf numFmtId="0" fontId="3" fillId="0" borderId="25" xfId="0" applyFont="1" applyBorder="1" applyAlignment="1" applyProtection="1">
      <alignment horizontal="left" vertical="center"/>
      <protection hidden="1"/>
    </xf>
    <xf numFmtId="0" fontId="3" fillId="0" borderId="14" xfId="0" applyFont="1" applyBorder="1" applyAlignment="1" applyProtection="1">
      <alignment horizontal="left" vertical="center"/>
      <protection hidden="1"/>
    </xf>
    <xf numFmtId="0" fontId="3" fillId="0" borderId="20" xfId="0" applyFont="1" applyBorder="1" applyAlignment="1" applyProtection="1">
      <alignment horizontal="left" vertical="center"/>
      <protection hidden="1"/>
    </xf>
    <xf numFmtId="0" fontId="3" fillId="0" borderId="4" xfId="0" applyFont="1" applyBorder="1" applyAlignment="1" applyProtection="1">
      <alignment horizontal="left" vertical="center"/>
      <protection hidden="1"/>
    </xf>
    <xf numFmtId="0" fontId="13" fillId="0" borderId="40" xfId="0" applyFont="1" applyBorder="1" applyAlignment="1">
      <alignment horizontal="center" wrapText="1"/>
    </xf>
    <xf numFmtId="0" fontId="13" fillId="0" borderId="0" xfId="0" applyFont="1" applyAlignment="1">
      <alignment horizontal="center" wrapText="1"/>
    </xf>
    <xf numFmtId="0" fontId="2" fillId="0" borderId="0" xfId="0" applyFont="1" applyAlignment="1" applyProtection="1">
      <alignment horizontal="center" vertical="center" wrapText="1"/>
      <protection hidden="1"/>
    </xf>
    <xf numFmtId="0" fontId="12" fillId="0" borderId="0" xfId="0" applyFont="1" applyAlignment="1" applyProtection="1">
      <alignment horizontal="left" vertical="center" wrapText="1"/>
      <protection hidden="1"/>
    </xf>
    <xf numFmtId="0" fontId="2" fillId="0" borderId="0" xfId="0" applyFont="1" applyAlignment="1" applyProtection="1">
      <alignment horizontal="left" vertical="center" wrapText="1"/>
      <protection hidden="1"/>
    </xf>
    <xf numFmtId="0" fontId="2" fillId="0" borderId="40" xfId="0" applyFont="1" applyBorder="1" applyAlignment="1" applyProtection="1">
      <alignment horizontal="left" vertical="center"/>
      <protection hidden="1"/>
    </xf>
    <xf numFmtId="0" fontId="2" fillId="0" borderId="0" xfId="0" applyFont="1" applyAlignment="1" applyProtection="1">
      <alignment horizontal="left" vertical="center"/>
      <protection hidden="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2" fillId="0" borderId="21" xfId="0" applyFont="1" applyBorder="1" applyAlignment="1">
      <alignment horizontal="left" vertical="center"/>
    </xf>
    <xf numFmtId="0" fontId="3" fillId="0" borderId="6" xfId="0" applyFont="1" applyBorder="1" applyAlignment="1">
      <alignment horizontal="left" vertical="center"/>
    </xf>
    <xf numFmtId="0" fontId="3" fillId="0" borderId="29" xfId="0" applyFont="1" applyBorder="1" applyAlignment="1">
      <alignment horizontal="left" vertical="center"/>
    </xf>
    <xf numFmtId="0" fontId="4" fillId="0" borderId="0" xfId="0" applyFont="1" applyAlignment="1">
      <alignment horizontal="center" vertical="center"/>
    </xf>
    <xf numFmtId="0" fontId="3" fillId="0" borderId="30" xfId="0" applyFont="1" applyBorder="1" applyAlignment="1">
      <alignment horizontal="left" vertical="center" wrapText="1"/>
    </xf>
    <xf numFmtId="0" fontId="3" fillId="0" borderId="31" xfId="0" applyFont="1" applyBorder="1" applyAlignment="1">
      <alignment horizontal="left" vertical="center" wrapText="1"/>
    </xf>
    <xf numFmtId="0" fontId="5" fillId="12" borderId="30" xfId="0" applyFont="1" applyFill="1" applyBorder="1" applyAlignment="1">
      <alignment horizontal="left" vertical="center"/>
    </xf>
    <xf numFmtId="0" fontId="5" fillId="12" borderId="15" xfId="0" applyFont="1" applyFill="1" applyBorder="1" applyAlignment="1">
      <alignment horizontal="left" vertical="center"/>
    </xf>
    <xf numFmtId="0" fontId="5" fillId="12" borderId="43" xfId="0" applyFont="1" applyFill="1" applyBorder="1" applyAlignment="1">
      <alignment horizontal="left" vertical="center"/>
    </xf>
    <xf numFmtId="0" fontId="2" fillId="0" borderId="26" xfId="0" applyFont="1" applyBorder="1" applyAlignment="1">
      <alignment horizontal="left" vertical="center" wrapText="1"/>
    </xf>
    <xf numFmtId="0" fontId="2" fillId="0" borderId="27" xfId="0" applyFont="1" applyBorder="1" applyAlignment="1">
      <alignment horizontal="left" vertical="center" wrapText="1"/>
    </xf>
    <xf numFmtId="0" fontId="2" fillId="0" borderId="46" xfId="0" applyFont="1" applyBorder="1" applyAlignment="1">
      <alignment horizontal="left" vertical="center" wrapText="1"/>
    </xf>
    <xf numFmtId="0" fontId="14" fillId="0" borderId="0" xfId="0" applyFont="1" applyAlignment="1" applyProtection="1">
      <alignment horizontal="center" vertical="center" wrapText="1"/>
      <protection hidden="1"/>
    </xf>
    <xf numFmtId="0" fontId="30" fillId="0" borderId="23" xfId="0" applyFont="1" applyBorder="1" applyAlignment="1">
      <alignment horizontal="left" vertical="center" wrapText="1"/>
    </xf>
    <xf numFmtId="0" fontId="3" fillId="0" borderId="16" xfId="0" applyFont="1" applyBorder="1" applyAlignment="1">
      <alignment horizontal="left" vertical="center" wrapText="1"/>
    </xf>
    <xf numFmtId="0" fontId="3" fillId="0" borderId="24" xfId="0" applyFont="1" applyBorder="1" applyAlignment="1">
      <alignment horizontal="left" vertical="center" wrapText="1"/>
    </xf>
    <xf numFmtId="0" fontId="30" fillId="0" borderId="28" xfId="0" applyFont="1" applyBorder="1" applyAlignment="1">
      <alignment horizontal="left" vertical="center" wrapText="1"/>
    </xf>
    <xf numFmtId="0" fontId="3" fillId="0" borderId="37" xfId="0" applyFont="1" applyBorder="1" applyAlignment="1">
      <alignment horizontal="left" vertical="center" wrapText="1"/>
    </xf>
    <xf numFmtId="0" fontId="2" fillId="0" borderId="44" xfId="0" applyFont="1" applyBorder="1" applyAlignment="1">
      <alignment horizontal="left" vertical="center"/>
    </xf>
    <xf numFmtId="0" fontId="2" fillId="0" borderId="13" xfId="0" applyFont="1" applyBorder="1" applyAlignment="1">
      <alignment horizontal="left" vertical="center"/>
    </xf>
    <xf numFmtId="0" fontId="2" fillId="11" borderId="23" xfId="0" applyFont="1" applyFill="1" applyBorder="1" applyAlignment="1" applyProtection="1">
      <alignment horizontal="left" vertical="center"/>
      <protection hidden="1"/>
    </xf>
    <xf numFmtId="0" fontId="2" fillId="11" borderId="16" xfId="0" applyFont="1" applyFill="1" applyBorder="1" applyAlignment="1" applyProtection="1">
      <alignment horizontal="left" vertical="center"/>
      <protection hidden="1"/>
    </xf>
    <xf numFmtId="0" fontId="2" fillId="11" borderId="18" xfId="0" applyFont="1" applyFill="1" applyBorder="1" applyAlignment="1" applyProtection="1">
      <alignment horizontal="left" vertical="center"/>
      <protection hidden="1"/>
    </xf>
    <xf numFmtId="0" fontId="3" fillId="0" borderId="3" xfId="0" applyFont="1" applyBorder="1" applyAlignment="1" applyProtection="1">
      <alignment horizontal="left" vertical="center" wrapText="1"/>
      <protection hidden="1"/>
    </xf>
    <xf numFmtId="0" fontId="4" fillId="11" borderId="32" xfId="0" applyFont="1" applyFill="1" applyBorder="1" applyAlignment="1" applyProtection="1">
      <alignment horizontal="left" vertical="center" wrapText="1"/>
      <protection hidden="1"/>
    </xf>
    <xf numFmtId="0" fontId="4" fillId="11" borderId="33" xfId="0" applyFont="1" applyFill="1" applyBorder="1" applyAlignment="1" applyProtection="1">
      <alignment horizontal="left" vertical="center" wrapText="1"/>
      <protection hidden="1"/>
    </xf>
    <xf numFmtId="0" fontId="4" fillId="11" borderId="34" xfId="0" applyFont="1" applyFill="1" applyBorder="1" applyAlignment="1" applyProtection="1">
      <alignment horizontal="left" vertical="center" wrapText="1"/>
      <protection hidden="1"/>
    </xf>
    <xf numFmtId="0" fontId="7" fillId="16" borderId="44" xfId="0" applyFont="1" applyFill="1" applyBorder="1" applyAlignment="1">
      <alignment horizontal="center" vertical="center"/>
    </xf>
    <xf numFmtId="0" fontId="7" fillId="16" borderId="13" xfId="0" applyFont="1" applyFill="1" applyBorder="1" applyAlignment="1">
      <alignment horizontal="center" vertical="center"/>
    </xf>
    <xf numFmtId="0" fontId="7" fillId="16" borderId="10" xfId="0" applyFont="1" applyFill="1" applyBorder="1" applyAlignment="1">
      <alignment horizontal="center" vertical="center"/>
    </xf>
    <xf numFmtId="0" fontId="7" fillId="15" borderId="44" xfId="0" applyFont="1" applyFill="1" applyBorder="1" applyAlignment="1">
      <alignment horizontal="center" vertical="center"/>
    </xf>
    <xf numFmtId="0" fontId="7" fillId="15" borderId="13" xfId="0" applyFont="1" applyFill="1" applyBorder="1" applyAlignment="1">
      <alignment horizontal="center" vertical="center"/>
    </xf>
    <xf numFmtId="0" fontId="7" fillId="15" borderId="10" xfId="0" applyFont="1" applyFill="1" applyBorder="1" applyAlignment="1">
      <alignment horizontal="center" vertical="center"/>
    </xf>
    <xf numFmtId="0" fontId="2" fillId="8" borderId="0" xfId="0" applyFont="1" applyFill="1" applyAlignment="1">
      <alignment horizontal="left" vertical="center"/>
    </xf>
    <xf numFmtId="0" fontId="2" fillId="0" borderId="0" xfId="0" applyFont="1" applyAlignment="1">
      <alignment horizontal="left" vertical="center"/>
    </xf>
    <xf numFmtId="0" fontId="7" fillId="0" borderId="47" xfId="0" applyFont="1" applyBorder="1" applyAlignment="1" applyProtection="1">
      <alignment horizontal="left" wrapText="1"/>
      <protection hidden="1"/>
    </xf>
    <xf numFmtId="0" fontId="7" fillId="10" borderId="44" xfId="0" applyFont="1" applyFill="1" applyBorder="1" applyAlignment="1">
      <alignment horizontal="center" vertical="center"/>
    </xf>
    <xf numFmtId="0" fontId="7" fillId="10" borderId="13" xfId="0" applyFont="1" applyFill="1" applyBorder="1" applyAlignment="1">
      <alignment horizontal="center" vertical="center"/>
    </xf>
    <xf numFmtId="0" fontId="7" fillId="10" borderId="10" xfId="0" applyFont="1" applyFill="1" applyBorder="1" applyAlignment="1">
      <alignment horizontal="center" vertical="center"/>
    </xf>
    <xf numFmtId="0" fontId="34" fillId="14" borderId="44" xfId="0" applyFont="1" applyFill="1" applyBorder="1" applyAlignment="1">
      <alignment horizontal="center" vertical="center"/>
    </xf>
    <xf numFmtId="0" fontId="34" fillId="14" borderId="13" xfId="0" applyFont="1" applyFill="1" applyBorder="1" applyAlignment="1">
      <alignment horizontal="center" vertical="center"/>
    </xf>
    <xf numFmtId="0" fontId="34" fillId="14" borderId="10" xfId="0" applyFont="1" applyFill="1" applyBorder="1" applyAlignment="1">
      <alignment horizontal="center" vertical="center"/>
    </xf>
    <xf numFmtId="0" fontId="7" fillId="0" borderId="47" xfId="0" applyFont="1" applyBorder="1" applyAlignment="1">
      <alignment horizontal="left" vertical="center" wrapText="1"/>
    </xf>
    <xf numFmtId="0" fontId="7" fillId="0" borderId="0" xfId="0" applyFont="1" applyAlignment="1">
      <alignment horizontal="left" vertical="top" wrapText="1"/>
    </xf>
    <xf numFmtId="0" fontId="1" fillId="20" borderId="3" xfId="0" applyFont="1" applyFill="1" applyBorder="1" applyAlignment="1" applyProtection="1">
      <alignment horizontal="left" vertical="top" wrapText="1"/>
      <protection locked="0"/>
    </xf>
    <xf numFmtId="0" fontId="0" fillId="20" borderId="3" xfId="0" applyFill="1" applyBorder="1" applyAlignment="1" applyProtection="1">
      <alignment horizontal="left" vertical="top" wrapText="1"/>
      <protection locked="0"/>
    </xf>
    <xf numFmtId="0" fontId="2" fillId="9" borderId="0" xfId="0" applyFont="1" applyFill="1" applyAlignment="1">
      <alignment horizontal="left" vertical="center"/>
    </xf>
    <xf numFmtId="0" fontId="21" fillId="0" borderId="47" xfId="0" applyFont="1" applyBorder="1" applyAlignment="1">
      <alignment horizontal="left" wrapText="1"/>
    </xf>
    <xf numFmtId="0" fontId="0" fillId="0" borderId="47" xfId="0" applyBorder="1"/>
    <xf numFmtId="0" fontId="0" fillId="0" borderId="0" xfId="0"/>
    <xf numFmtId="0" fontId="2" fillId="18" borderId="0" xfId="0" applyFont="1" applyFill="1" applyAlignment="1">
      <alignment horizontal="left" vertical="center"/>
    </xf>
    <xf numFmtId="0" fontId="34" fillId="3" borderId="44" xfId="0" applyFont="1" applyFill="1" applyBorder="1" applyAlignment="1">
      <alignment horizontal="center" vertical="center"/>
    </xf>
    <xf numFmtId="0" fontId="34" fillId="3" borderId="13" xfId="0" applyFont="1" applyFill="1" applyBorder="1" applyAlignment="1">
      <alignment horizontal="center" vertical="center"/>
    </xf>
    <xf numFmtId="0" fontId="34" fillId="3" borderId="10" xfId="0" applyFont="1" applyFill="1" applyBorder="1" applyAlignment="1">
      <alignment horizontal="center" vertical="center"/>
    </xf>
    <xf numFmtId="0" fontId="7" fillId="23" borderId="44" xfId="0" applyFont="1" applyFill="1" applyBorder="1" applyAlignment="1">
      <alignment horizontal="center" vertical="center"/>
    </xf>
    <xf numFmtId="0" fontId="7" fillId="23" borderId="13" xfId="0" applyFont="1" applyFill="1" applyBorder="1" applyAlignment="1">
      <alignment horizontal="center" vertical="center"/>
    </xf>
    <xf numFmtId="0" fontId="7" fillId="23" borderId="10" xfId="0" applyFont="1" applyFill="1" applyBorder="1" applyAlignment="1">
      <alignment horizontal="center" vertical="center"/>
    </xf>
    <xf numFmtId="0" fontId="7" fillId="24" borderId="44" xfId="0" applyFont="1" applyFill="1" applyBorder="1" applyAlignment="1">
      <alignment horizontal="center" vertical="center"/>
    </xf>
    <xf numFmtId="0" fontId="7" fillId="24" borderId="13" xfId="0" applyFont="1" applyFill="1" applyBorder="1" applyAlignment="1">
      <alignment horizontal="center" vertical="center"/>
    </xf>
    <xf numFmtId="0" fontId="7" fillId="24" borderId="10" xfId="0" applyFont="1" applyFill="1" applyBorder="1" applyAlignment="1">
      <alignment horizontal="center" vertical="center"/>
    </xf>
    <xf numFmtId="0" fontId="2" fillId="21" borderId="0" xfId="0" applyFont="1" applyFill="1" applyAlignment="1">
      <alignment horizontal="left" vertical="center"/>
    </xf>
    <xf numFmtId="0" fontId="7" fillId="0" borderId="47" xfId="0" applyFont="1" applyBorder="1" applyAlignment="1">
      <alignment horizontal="left" wrapText="1"/>
    </xf>
    <xf numFmtId="0" fontId="7" fillId="22" borderId="44" xfId="0" applyFont="1" applyFill="1" applyBorder="1" applyAlignment="1">
      <alignment horizontal="center" vertical="center"/>
    </xf>
    <xf numFmtId="0" fontId="7" fillId="22" borderId="13" xfId="0" applyFont="1" applyFill="1" applyBorder="1" applyAlignment="1">
      <alignment horizontal="center" vertical="center"/>
    </xf>
    <xf numFmtId="0" fontId="7" fillId="22" borderId="10" xfId="0" applyFont="1" applyFill="1" applyBorder="1" applyAlignment="1">
      <alignment horizontal="center" vertical="center"/>
    </xf>
    <xf numFmtId="0" fontId="29" fillId="7" borderId="38"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7" borderId="39" xfId="0" applyFont="1" applyFill="1" applyBorder="1" applyAlignment="1">
      <alignment horizontal="center" vertical="center" wrapText="1"/>
    </xf>
    <xf numFmtId="0" fontId="9" fillId="7" borderId="40" xfId="0" applyFont="1" applyFill="1" applyBorder="1" applyAlignment="1">
      <alignment horizontal="center" vertical="center" wrapText="1"/>
    </xf>
    <xf numFmtId="0" fontId="9" fillId="7" borderId="0" xfId="0" applyFont="1" applyFill="1" applyAlignment="1">
      <alignment horizontal="center" vertical="center" wrapText="1"/>
    </xf>
    <xf numFmtId="0" fontId="9" fillId="7" borderId="36" xfId="0" applyFont="1" applyFill="1" applyBorder="1" applyAlignment="1">
      <alignment horizontal="center" vertical="center" wrapText="1"/>
    </xf>
    <xf numFmtId="0" fontId="9" fillId="7" borderId="41" xfId="0" applyFont="1" applyFill="1" applyBorder="1" applyAlignment="1">
      <alignment horizontal="center" vertical="center" wrapText="1"/>
    </xf>
    <xf numFmtId="0" fontId="9" fillId="7" borderId="22" xfId="0" applyFont="1" applyFill="1" applyBorder="1" applyAlignment="1">
      <alignment horizontal="center" vertical="center" wrapText="1"/>
    </xf>
    <xf numFmtId="0" fontId="9" fillId="7" borderId="42" xfId="0" applyFont="1" applyFill="1" applyBorder="1" applyAlignment="1">
      <alignment horizontal="center" vertical="center" wrapText="1"/>
    </xf>
    <xf numFmtId="0" fontId="1" fillId="13" borderId="0" xfId="0" applyFont="1" applyFill="1" applyAlignment="1">
      <alignment horizontal="center"/>
    </xf>
    <xf numFmtId="4" fontId="1" fillId="6" borderId="0" xfId="0" applyNumberFormat="1" applyFont="1" applyFill="1" applyAlignment="1">
      <alignment wrapText="1"/>
    </xf>
    <xf numFmtId="0" fontId="1" fillId="0" borderId="0" xfId="0" applyFont="1" applyAlignment="1">
      <alignment horizontal="left" vertical="center" wrapText="1"/>
    </xf>
    <xf numFmtId="0" fontId="2" fillId="0" borderId="26" xfId="0" applyFont="1" applyBorder="1" applyAlignment="1" applyProtection="1">
      <alignment horizontal="left" vertical="top" wrapText="1"/>
      <protection locked="0" hidden="1"/>
    </xf>
    <xf numFmtId="0" fontId="2" fillId="0" borderId="27" xfId="0" applyFont="1" applyBorder="1" applyAlignment="1" applyProtection="1">
      <alignment horizontal="left" vertical="top" wrapText="1"/>
      <protection locked="0" hidden="1"/>
    </xf>
    <xf numFmtId="0" fontId="2" fillId="0" borderId="35" xfId="0" applyFont="1" applyBorder="1" applyAlignment="1" applyProtection="1">
      <alignment horizontal="left" vertical="top" wrapText="1"/>
      <protection locked="0" hidden="1"/>
    </xf>
  </cellXfs>
  <cellStyles count="4">
    <cellStyle name="Comma" xfId="1" builtinId="3"/>
    <cellStyle name="Hyperlink" xfId="3" builtinId="8"/>
    <cellStyle name="Normal" xfId="0" builtinId="0"/>
    <cellStyle name="Normal 8" xfId="2" xr:uid="{00000000-0005-0000-0000-000003000000}"/>
  </cellStyles>
  <dxfs count="83">
    <dxf>
      <fill>
        <patternFill>
          <bgColor theme="6" tint="-0.24994659260841701"/>
        </patternFill>
      </fill>
    </dxf>
    <dxf>
      <fill>
        <patternFill>
          <bgColor theme="6" tint="-0.24994659260841701"/>
        </patternFill>
      </fill>
    </dxf>
    <dxf>
      <fill>
        <patternFill>
          <bgColor theme="6" tint="-0.24994659260841701"/>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79998168889431442"/>
        </patternFill>
      </fill>
    </dxf>
    <dxf>
      <fill>
        <patternFill>
          <bgColor theme="6" tint="0.79998168889431442"/>
        </patternFill>
      </fill>
    </dxf>
    <dxf>
      <fill>
        <patternFill>
          <bgColor theme="6" tint="0.79998168889431442"/>
        </patternFill>
      </fill>
    </dxf>
    <dxf>
      <font>
        <b/>
        <i val="0"/>
        <color theme="0"/>
      </font>
      <fill>
        <patternFill>
          <bgColor rgb="FFFF0000"/>
        </patternFill>
      </fill>
    </dxf>
    <dxf>
      <font>
        <color rgb="FFFF0000"/>
      </font>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ill>
        <patternFill>
          <bgColor theme="5" tint="0.79998168889431442"/>
        </patternFill>
      </fill>
    </dxf>
    <dxf>
      <fill>
        <patternFill>
          <bgColor theme="5" tint="0.79998168889431442"/>
        </patternFill>
      </fill>
    </dxf>
    <dxf>
      <fill>
        <patternFill>
          <bgColor theme="5" tint="0.79998168889431442"/>
        </patternFill>
      </fill>
    </dxf>
    <dxf>
      <font>
        <color rgb="FFFF0000"/>
      </font>
    </dxf>
    <dxf>
      <font>
        <b/>
        <i val="0"/>
        <color theme="0"/>
      </font>
      <fill>
        <patternFill>
          <bgColor rgb="FFFF0000"/>
        </patternFill>
      </fill>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ill>
        <patternFill>
          <bgColor theme="9" tint="0.79998168889431442"/>
        </patternFill>
      </fill>
    </dxf>
    <dxf>
      <fill>
        <patternFill>
          <bgColor theme="9" tint="0.79998168889431442"/>
        </patternFill>
      </fill>
    </dxf>
    <dxf>
      <fill>
        <patternFill>
          <bgColor rgb="FFFFC000"/>
        </patternFill>
      </fill>
      <border>
        <left style="thin">
          <color indexed="64"/>
        </left>
        <right style="thin">
          <color indexed="64"/>
        </right>
        <top style="thin">
          <color indexed="64"/>
        </top>
        <bottom style="thin">
          <color indexed="64"/>
        </bottom>
      </border>
    </dxf>
    <dxf>
      <fill>
        <patternFill>
          <bgColor rgb="FFFFFF00"/>
        </patternFill>
      </fill>
      <border>
        <left style="thin">
          <color indexed="64"/>
        </left>
        <right style="thin">
          <color indexed="64"/>
        </right>
        <top style="thin">
          <color indexed="64"/>
        </top>
        <bottom style="thin">
          <color indexed="64"/>
        </bottom>
      </border>
    </dxf>
    <dxf>
      <fill>
        <patternFill>
          <bgColor rgb="FFFFFF00"/>
        </patternFill>
      </fill>
      <border>
        <left style="thin">
          <color indexed="64"/>
        </left>
        <right style="thin">
          <color indexed="64"/>
        </right>
        <top style="thin">
          <color indexed="64"/>
        </top>
        <bottom style="thin">
          <color indexed="64"/>
        </bottom>
      </border>
    </dxf>
    <dxf>
      <font>
        <color rgb="FFFF0000"/>
      </font>
    </dxf>
    <dxf>
      <font>
        <color rgb="FFFF0000"/>
      </font>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ont>
        <b/>
        <i val="0"/>
        <color theme="0"/>
      </font>
      <fill>
        <patternFill>
          <bgColor rgb="FFFF0000"/>
        </patternFill>
      </fill>
    </dxf>
    <dxf>
      <font>
        <color rgb="FFFF0000"/>
      </font>
    </dxf>
    <dxf>
      <font>
        <color theme="0"/>
      </font>
      <fill>
        <patternFill>
          <bgColor theme="0"/>
        </patternFill>
      </fill>
      <border>
        <left style="thin">
          <color theme="0"/>
        </left>
        <right style="thin">
          <color theme="0"/>
        </right>
        <top style="thin">
          <color theme="0"/>
        </top>
        <bottom style="thin">
          <color theme="0"/>
        </bottom>
        <vertical/>
        <horizontal/>
      </border>
    </dxf>
    <dxf>
      <fill>
        <patternFill>
          <bgColor rgb="FFFFFF00"/>
        </patternFill>
      </fill>
      <border>
        <left style="thin">
          <color indexed="64"/>
        </left>
        <right style="thin">
          <color indexed="64"/>
        </right>
        <top style="thin">
          <color indexed="64"/>
        </top>
        <bottom style="thin">
          <color indexed="64"/>
        </bottom>
      </border>
    </dxf>
    <dxf>
      <fill>
        <patternFill>
          <bgColor rgb="FFFFFF00"/>
        </patternFill>
      </fill>
      <border>
        <left style="thin">
          <color indexed="64"/>
        </left>
        <right style="thin">
          <color indexed="64"/>
        </right>
        <top style="thin">
          <color indexed="64"/>
        </top>
        <bottom style="thin">
          <color indexed="64"/>
        </bottom>
      </border>
    </dxf>
    <dxf>
      <fill>
        <patternFill>
          <bgColor rgb="FFFFFF00"/>
        </patternFill>
      </fill>
      <border>
        <left style="thin">
          <color indexed="64"/>
        </left>
        <right style="thin">
          <color indexed="64"/>
        </right>
        <top style="thin">
          <color indexed="64"/>
        </top>
        <bottom style="thin">
          <color indexed="64"/>
        </bottom>
      </border>
    </dxf>
    <dxf>
      <fill>
        <patternFill>
          <bgColor rgb="FFFFFF00"/>
        </patternFill>
      </fill>
      <border>
        <left style="thin">
          <color indexed="64"/>
        </left>
        <right style="thin">
          <color indexed="64"/>
        </right>
        <top style="thin">
          <color indexed="64"/>
        </top>
        <bottom style="thin">
          <color indexed="64"/>
        </bottom>
      </border>
    </dxf>
    <dxf>
      <font>
        <color rgb="FFFF0000"/>
      </font>
    </dxf>
    <dxf>
      <fill>
        <patternFill>
          <bgColor rgb="FFFFC000"/>
        </patternFill>
      </fill>
    </dxf>
    <dxf>
      <font>
        <b/>
        <i val="0"/>
        <color theme="0"/>
      </font>
      <fill>
        <patternFill>
          <bgColor rgb="FFFF0000"/>
        </patternFill>
      </fill>
    </dxf>
    <dxf>
      <fill>
        <patternFill>
          <bgColor rgb="FFFFFF00"/>
        </patternFill>
      </fill>
      <border>
        <left style="thin">
          <color auto="1"/>
        </left>
        <right style="thin">
          <color auto="1"/>
        </right>
        <top style="thin">
          <color auto="1"/>
        </top>
        <bottom style="thin">
          <color auto="1"/>
        </bottom>
        <vertical/>
        <horizontal/>
      </border>
    </dxf>
    <dxf>
      <font>
        <color rgb="FFFF0000"/>
      </font>
    </dxf>
    <dxf>
      <fill>
        <patternFill>
          <bgColor rgb="FFFFFF00"/>
        </patternFill>
      </fill>
      <border>
        <right style="thin">
          <color auto="1"/>
        </right>
        <top style="thin">
          <color auto="1"/>
        </top>
        <bottom style="thin">
          <color auto="1"/>
        </bottom>
      </border>
    </dxf>
    <dxf>
      <font>
        <b/>
        <i val="0"/>
        <color theme="0"/>
      </font>
      <fill>
        <patternFill>
          <bgColor rgb="FFFF0000"/>
        </patternFill>
      </fill>
    </dxf>
    <dxf>
      <fill>
        <patternFill>
          <bgColor rgb="FFFFC000"/>
        </patternFill>
      </fill>
      <border>
        <left style="thin">
          <color indexed="64"/>
        </left>
        <right style="thin">
          <color indexed="64"/>
        </right>
        <top style="thin">
          <color indexed="64"/>
        </top>
        <bottom style="thin">
          <color indexed="64"/>
        </bottom>
      </border>
    </dxf>
    <dxf>
      <fill>
        <patternFill>
          <bgColor rgb="FFFF0000"/>
        </patternFill>
      </fill>
    </dxf>
    <dxf>
      <font>
        <b/>
        <i val="0"/>
        <color theme="0"/>
      </font>
      <fill>
        <patternFill>
          <bgColor rgb="FFFF0000"/>
        </patternFill>
      </fill>
    </dxf>
    <dxf>
      <fill>
        <patternFill>
          <bgColor rgb="FFFFC000"/>
        </patternFill>
      </fill>
    </dxf>
    <dxf>
      <fill>
        <patternFill>
          <bgColor theme="1"/>
        </patternFill>
      </fill>
    </dxf>
    <dxf>
      <fill>
        <patternFill>
          <bgColor theme="1"/>
        </patternFill>
      </fill>
    </dxf>
    <dxf>
      <fill>
        <patternFill>
          <bgColor theme="1"/>
        </patternFill>
      </fill>
    </dxf>
    <dxf>
      <font>
        <b/>
        <i val="0"/>
        <color theme="1"/>
      </font>
    </dxf>
    <dxf>
      <fill>
        <patternFill>
          <bgColor rgb="FFFFC000"/>
        </patternFill>
      </fill>
    </dxf>
    <dxf>
      <fill>
        <patternFill>
          <bgColor theme="1"/>
        </patternFill>
      </fill>
    </dxf>
    <dxf>
      <fill>
        <patternFill>
          <bgColor rgb="FFFFFF00"/>
        </patternFill>
      </fill>
    </dxf>
    <dxf>
      <fill>
        <patternFill>
          <bgColor rgb="FF92D050"/>
        </patternFill>
      </fill>
    </dxf>
    <dxf>
      <fill>
        <patternFill>
          <bgColor theme="1"/>
        </patternFill>
      </fill>
    </dxf>
  </dxfs>
  <tableStyles count="1" defaultTableStyle="TableStyleMedium9" defaultPivotStyle="PivotStyleLight16">
    <tableStyle name="Invisible" pivot="0" table="0" count="0" xr9:uid="{27D6D85F-E96C-4B28-A5F1-224E7E29D87A}"/>
  </tableStyles>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choolfinancereturns@theeducationpeople.org"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33292-DA43-41A6-834D-032AB32E7DA4}">
  <sheetPr codeName="Sheet3">
    <tabColor rgb="FF92D050"/>
  </sheetPr>
  <dimension ref="B1:J57"/>
  <sheetViews>
    <sheetView showGridLines="0" showRowColHeaders="0" workbookViewId="0">
      <pane ySplit="4" topLeftCell="A5" activePane="bottomLeft" state="frozen"/>
      <selection pane="bottomLeft" activeCell="Q44" sqref="Q44"/>
    </sheetView>
  </sheetViews>
  <sheetFormatPr defaultRowHeight="15"/>
  <cols>
    <col min="1" max="1" width="1.90625" customWidth="1"/>
  </cols>
  <sheetData>
    <row r="1" spans="2:10" ht="7.5" customHeight="1"/>
    <row r="2" spans="2:10" ht="17.399999999999999">
      <c r="B2" s="40" t="s">
        <v>0</v>
      </c>
    </row>
    <row r="3" spans="2:10" ht="7.5" customHeight="1"/>
    <row r="4" spans="2:10" ht="15.6">
      <c r="B4" s="46" t="s">
        <v>1</v>
      </c>
      <c r="J4" s="45"/>
    </row>
    <row r="5" spans="2:10" ht="7.5" customHeight="1"/>
    <row r="6" spans="2:10" ht="15.6">
      <c r="B6" s="42" t="s">
        <v>519</v>
      </c>
    </row>
    <row r="7" spans="2:10" ht="7.5" customHeight="1"/>
    <row r="8" spans="2:10" ht="15.6">
      <c r="B8" s="41" t="s">
        <v>2</v>
      </c>
    </row>
    <row r="9" spans="2:10" ht="15.6">
      <c r="B9" s="41" t="s">
        <v>3</v>
      </c>
    </row>
    <row r="10" spans="2:10" ht="15.6">
      <c r="B10" s="41" t="s">
        <v>4</v>
      </c>
    </row>
    <row r="11" spans="2:10">
      <c r="B11" s="44" t="s">
        <v>5</v>
      </c>
      <c r="C11" s="43"/>
      <c r="D11" s="43"/>
      <c r="E11" s="43"/>
      <c r="F11" s="43"/>
      <c r="G11" s="43"/>
    </row>
    <row r="12" spans="2:10" ht="15.6">
      <c r="B12" s="41" t="s">
        <v>6</v>
      </c>
    </row>
    <row r="13" spans="2:10">
      <c r="B13" s="44" t="s">
        <v>7</v>
      </c>
    </row>
    <row r="14" spans="2:10">
      <c r="B14" s="44" t="s">
        <v>8</v>
      </c>
    </row>
    <row r="15" spans="2:10" ht="7.5" customHeight="1">
      <c r="B15" s="41"/>
    </row>
    <row r="16" spans="2:10" ht="15.6">
      <c r="B16" s="42" t="s">
        <v>520</v>
      </c>
    </row>
    <row r="17" spans="2:2" ht="7.5" customHeight="1">
      <c r="B17" s="41"/>
    </row>
    <row r="18" spans="2:2" ht="15.6">
      <c r="B18" s="41" t="s">
        <v>9</v>
      </c>
    </row>
    <row r="19" spans="2:2" ht="15.6">
      <c r="B19" s="41" t="s">
        <v>10</v>
      </c>
    </row>
    <row r="20" spans="2:2">
      <c r="B20" s="41" t="s">
        <v>11</v>
      </c>
    </row>
    <row r="21" spans="2:2" ht="15.6">
      <c r="B21" s="41" t="s">
        <v>12</v>
      </c>
    </row>
    <row r="22" spans="2:2" ht="6" customHeight="1">
      <c r="B22" s="41"/>
    </row>
    <row r="23" spans="2:2" ht="15.6">
      <c r="B23" s="41" t="s">
        <v>13</v>
      </c>
    </row>
    <row r="24" spans="2:2" ht="7.5" customHeight="1">
      <c r="B24" s="41"/>
    </row>
    <row r="25" spans="2:2" ht="15.6">
      <c r="B25" s="41" t="s">
        <v>14</v>
      </c>
    </row>
    <row r="26" spans="2:2" ht="16.5" customHeight="1">
      <c r="B26" s="41" t="s">
        <v>15</v>
      </c>
    </row>
    <row r="27" spans="2:2" ht="7.5" customHeight="1">
      <c r="B27" s="41"/>
    </row>
    <row r="28" spans="2:2" ht="15.6">
      <c r="B28" s="42" t="s">
        <v>16</v>
      </c>
    </row>
    <row r="29" spans="2:2" ht="7.5" customHeight="1"/>
    <row r="30" spans="2:2">
      <c r="B30" s="41" t="s">
        <v>17</v>
      </c>
    </row>
    <row r="31" spans="2:2" ht="7.5" customHeight="1">
      <c r="B31" s="41"/>
    </row>
    <row r="32" spans="2:2" ht="15.6">
      <c r="B32" s="42" t="s">
        <v>518</v>
      </c>
    </row>
    <row r="33" spans="2:2" ht="7.5" customHeight="1"/>
    <row r="34" spans="2:2" ht="15.6">
      <c r="B34" s="41" t="s">
        <v>18</v>
      </c>
    </row>
    <row r="35" spans="2:2">
      <c r="B35" s="41" t="s">
        <v>19</v>
      </c>
    </row>
    <row r="36" spans="2:2" ht="15.6">
      <c r="B36" s="41" t="s">
        <v>20</v>
      </c>
    </row>
    <row r="37" spans="2:2" ht="15.6">
      <c r="B37" s="41" t="s">
        <v>514</v>
      </c>
    </row>
    <row r="38" spans="2:2" ht="15.6">
      <c r="B38" s="41" t="s">
        <v>21</v>
      </c>
    </row>
    <row r="39" spans="2:2" ht="15.6">
      <c r="B39" s="41" t="s">
        <v>22</v>
      </c>
    </row>
    <row r="40" spans="2:2" ht="15.6">
      <c r="B40" s="41" t="s">
        <v>23</v>
      </c>
    </row>
    <row r="41" spans="2:2" ht="7.5" customHeight="1"/>
    <row r="42" spans="2:2" ht="15.6">
      <c r="B42" s="42" t="s">
        <v>521</v>
      </c>
    </row>
    <row r="43" spans="2:2" ht="7.5" customHeight="1"/>
    <row r="44" spans="2:2">
      <c r="B44" s="41" t="s">
        <v>24</v>
      </c>
    </row>
    <row r="45" spans="2:2" ht="15.6">
      <c r="B45" s="41" t="s">
        <v>25</v>
      </c>
    </row>
    <row r="46" spans="2:2" ht="15.6">
      <c r="B46" s="41" t="s">
        <v>26</v>
      </c>
    </row>
    <row r="47" spans="2:2" ht="15.6">
      <c r="B47" s="41" t="s">
        <v>27</v>
      </c>
    </row>
    <row r="48" spans="2:2" ht="7.5" customHeight="1">
      <c r="B48" s="41"/>
    </row>
    <row r="49" spans="2:4" ht="15.6">
      <c r="B49" s="41" t="s">
        <v>515</v>
      </c>
    </row>
    <row r="50" spans="2:4" ht="15.6">
      <c r="B50" s="41" t="s">
        <v>28</v>
      </c>
    </row>
    <row r="51" spans="2:4" ht="7.5" customHeight="1">
      <c r="B51" s="41"/>
    </row>
    <row r="52" spans="2:4" ht="15.6">
      <c r="B52" s="41" t="s">
        <v>29</v>
      </c>
    </row>
    <row r="54" spans="2:4" ht="15.6">
      <c r="B54" s="42" t="s">
        <v>30</v>
      </c>
    </row>
    <row r="55" spans="2:4">
      <c r="B55" t="s">
        <v>31</v>
      </c>
    </row>
    <row r="56" spans="2:4">
      <c r="B56" t="s">
        <v>32</v>
      </c>
    </row>
    <row r="57" spans="2:4" ht="23.4">
      <c r="D57" s="50" t="s">
        <v>33</v>
      </c>
    </row>
  </sheetData>
  <sheetProtection selectLockedCells="1" selectUnlockedCells="1"/>
  <hyperlinks>
    <hyperlink ref="D57" r:id="rId1" xr:uid="{DA6CC736-0BD6-4DB8-A573-133804B55BAE}"/>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6A261-B9C0-42E9-BFA9-F9601A3CA902}">
  <dimension ref="A2:N68"/>
  <sheetViews>
    <sheetView showGridLines="0" workbookViewId="0">
      <selection activeCell="C10" sqref="C10"/>
    </sheetView>
  </sheetViews>
  <sheetFormatPr defaultColWidth="8.90625" defaultRowHeight="15"/>
  <cols>
    <col min="1" max="16384" width="8.90625" style="235"/>
  </cols>
  <sheetData>
    <row r="2" spans="1:14" ht="17.399999999999999">
      <c r="A2" s="258" t="s">
        <v>34</v>
      </c>
      <c r="B2" s="258"/>
      <c r="C2" s="258"/>
      <c r="D2" s="258"/>
      <c r="E2" s="258"/>
      <c r="F2" s="258"/>
      <c r="G2" s="258"/>
      <c r="H2" s="258"/>
      <c r="I2" s="258"/>
      <c r="J2" s="258"/>
      <c r="K2" s="258"/>
      <c r="L2" s="258"/>
      <c r="M2" s="258"/>
      <c r="N2" s="258"/>
    </row>
    <row r="3" spans="1:14" ht="17.399999999999999">
      <c r="A3" s="258" t="s">
        <v>35</v>
      </c>
      <c r="B3" s="258"/>
      <c r="C3" s="258"/>
      <c r="D3" s="258"/>
      <c r="E3" s="258"/>
      <c r="F3" s="258"/>
      <c r="G3" s="258"/>
      <c r="H3" s="258"/>
      <c r="I3" s="258"/>
      <c r="J3" s="258"/>
      <c r="K3" s="258"/>
      <c r="L3" s="258"/>
      <c r="M3" s="258"/>
      <c r="N3" s="258"/>
    </row>
    <row r="5" spans="1:14" ht="15.6">
      <c r="A5" s="236" t="s">
        <v>36</v>
      </c>
    </row>
    <row r="7" spans="1:14" ht="30.75" customHeight="1">
      <c r="A7" s="259" t="s">
        <v>37</v>
      </c>
      <c r="B7" s="259"/>
      <c r="C7" s="259"/>
      <c r="D7" s="259"/>
      <c r="E7" s="259"/>
      <c r="F7" s="259"/>
      <c r="G7" s="259"/>
      <c r="H7" s="259"/>
      <c r="I7" s="259"/>
      <c r="J7" s="259"/>
      <c r="K7" s="259"/>
      <c r="L7" s="259"/>
      <c r="M7" s="259"/>
      <c r="N7" s="259"/>
    </row>
    <row r="9" spans="1:14" ht="33" customHeight="1">
      <c r="A9" s="260" t="s">
        <v>511</v>
      </c>
      <c r="B9" s="260"/>
      <c r="C9" s="260"/>
      <c r="D9" s="260"/>
      <c r="E9" s="260"/>
      <c r="F9" s="260"/>
      <c r="G9" s="260"/>
      <c r="H9" s="260"/>
      <c r="I9" s="260"/>
      <c r="J9" s="260"/>
      <c r="K9" s="260"/>
      <c r="L9" s="260"/>
      <c r="M9" s="260"/>
      <c r="N9" s="260"/>
    </row>
    <row r="11" spans="1:14" ht="15.6">
      <c r="A11" s="237" t="s">
        <v>38</v>
      </c>
    </row>
    <row r="12" spans="1:14">
      <c r="A12" s="238"/>
    </row>
    <row r="13" spans="1:14" ht="51.75" customHeight="1">
      <c r="A13" s="257" t="s">
        <v>39</v>
      </c>
      <c r="B13" s="257"/>
      <c r="C13" s="257"/>
      <c r="D13" s="257"/>
      <c r="E13" s="257"/>
      <c r="F13" s="257"/>
      <c r="G13" s="257"/>
      <c r="H13" s="257"/>
      <c r="I13" s="257"/>
      <c r="J13" s="257"/>
      <c r="K13" s="257"/>
      <c r="L13" s="257"/>
      <c r="M13" s="257"/>
      <c r="N13" s="257"/>
    </row>
    <row r="14" spans="1:14" ht="15.6">
      <c r="A14" s="239"/>
    </row>
    <row r="15" spans="1:14" ht="15.6">
      <c r="A15" s="239" t="s">
        <v>40</v>
      </c>
    </row>
    <row r="16" spans="1:14">
      <c r="A16" s="238"/>
    </row>
    <row r="17" spans="1:14">
      <c r="A17" s="49" t="s">
        <v>41</v>
      </c>
      <c r="B17" s="257" t="s">
        <v>42</v>
      </c>
      <c r="C17" s="257"/>
      <c r="D17" s="257"/>
      <c r="E17" s="257"/>
      <c r="F17" s="257"/>
      <c r="G17" s="257"/>
      <c r="H17" s="257"/>
      <c r="I17" s="257"/>
      <c r="J17" s="257"/>
      <c r="K17" s="257"/>
      <c r="L17" s="257"/>
      <c r="M17" s="257"/>
      <c r="N17" s="257"/>
    </row>
    <row r="18" spans="1:14">
      <c r="A18" s="240"/>
      <c r="B18" s="243"/>
      <c r="C18" s="244"/>
      <c r="D18" s="244"/>
      <c r="E18" s="244"/>
      <c r="F18" s="244"/>
      <c r="G18" s="244"/>
      <c r="H18" s="244"/>
      <c r="I18" s="244"/>
      <c r="J18" s="244"/>
      <c r="K18" s="244"/>
      <c r="L18" s="244"/>
      <c r="M18" s="244"/>
      <c r="N18" s="244"/>
    </row>
    <row r="19" spans="1:14">
      <c r="A19" s="49" t="s">
        <v>41</v>
      </c>
      <c r="B19" s="257" t="s">
        <v>43</v>
      </c>
      <c r="C19" s="257"/>
      <c r="D19" s="257"/>
      <c r="E19" s="257"/>
      <c r="F19" s="257"/>
      <c r="G19" s="257"/>
      <c r="H19" s="257"/>
      <c r="I19" s="257"/>
      <c r="J19" s="257"/>
      <c r="K19" s="257"/>
      <c r="L19" s="257"/>
      <c r="M19" s="257"/>
      <c r="N19" s="257"/>
    </row>
    <row r="20" spans="1:14">
      <c r="A20" s="240"/>
      <c r="B20" s="243"/>
      <c r="C20" s="244"/>
      <c r="D20" s="244"/>
      <c r="E20" s="244"/>
      <c r="F20" s="244"/>
      <c r="G20" s="244"/>
      <c r="H20" s="244"/>
      <c r="I20" s="244"/>
      <c r="J20" s="244"/>
      <c r="K20" s="244"/>
      <c r="L20" s="244"/>
      <c r="M20" s="244"/>
      <c r="N20" s="244"/>
    </row>
    <row r="21" spans="1:14" ht="32.25" customHeight="1">
      <c r="A21" s="49" t="s">
        <v>41</v>
      </c>
      <c r="B21" s="257" t="s">
        <v>44</v>
      </c>
      <c r="C21" s="257"/>
      <c r="D21" s="257"/>
      <c r="E21" s="257"/>
      <c r="F21" s="257"/>
      <c r="G21" s="257"/>
      <c r="H21" s="257"/>
      <c r="I21" s="257"/>
      <c r="J21" s="257"/>
      <c r="K21" s="257"/>
      <c r="L21" s="257"/>
      <c r="M21" s="257"/>
      <c r="N21" s="257"/>
    </row>
    <row r="22" spans="1:14">
      <c r="A22" s="240"/>
      <c r="B22" s="243"/>
      <c r="C22" s="244"/>
      <c r="D22" s="244"/>
      <c r="E22" s="244"/>
      <c r="F22" s="244"/>
      <c r="G22" s="244"/>
      <c r="H22" s="244"/>
      <c r="I22" s="244"/>
      <c r="J22" s="244"/>
      <c r="K22" s="244"/>
      <c r="L22" s="244"/>
      <c r="M22" s="244"/>
      <c r="N22" s="244"/>
    </row>
    <row r="23" spans="1:14">
      <c r="A23" s="49" t="s">
        <v>41</v>
      </c>
      <c r="B23" s="257" t="s">
        <v>45</v>
      </c>
      <c r="C23" s="257"/>
      <c r="D23" s="257"/>
      <c r="E23" s="257"/>
      <c r="F23" s="257"/>
      <c r="G23" s="257"/>
      <c r="H23" s="257"/>
      <c r="I23" s="257"/>
      <c r="J23" s="257"/>
      <c r="K23" s="257"/>
      <c r="L23" s="257"/>
      <c r="M23" s="257"/>
      <c r="N23" s="257"/>
    </row>
    <row r="24" spans="1:14">
      <c r="A24" s="240"/>
      <c r="B24" s="243"/>
      <c r="C24" s="244"/>
      <c r="D24" s="244"/>
      <c r="E24" s="244"/>
      <c r="F24" s="244"/>
      <c r="G24" s="244"/>
      <c r="H24" s="244"/>
      <c r="I24" s="244"/>
      <c r="J24" s="244"/>
      <c r="K24" s="244"/>
      <c r="L24" s="244"/>
      <c r="M24" s="244"/>
      <c r="N24" s="244"/>
    </row>
    <row r="25" spans="1:14">
      <c r="A25" s="49" t="s">
        <v>41</v>
      </c>
      <c r="B25" s="257" t="s">
        <v>46</v>
      </c>
      <c r="C25" s="257"/>
      <c r="D25" s="257"/>
      <c r="E25" s="257"/>
      <c r="F25" s="257"/>
      <c r="G25" s="257"/>
      <c r="H25" s="257"/>
      <c r="I25" s="257"/>
      <c r="J25" s="257"/>
      <c r="K25" s="257"/>
      <c r="L25" s="257"/>
      <c r="M25" s="257"/>
      <c r="N25" s="257"/>
    </row>
    <row r="26" spans="1:14" ht="30">
      <c r="A26" s="238"/>
      <c r="B26" s="234" t="s">
        <v>47</v>
      </c>
    </row>
    <row r="27" spans="1:14" ht="15.6">
      <c r="A27" s="239" t="s">
        <v>48</v>
      </c>
    </row>
    <row r="28" spans="1:14">
      <c r="A28" s="238"/>
    </row>
    <row r="29" spans="1:14">
      <c r="A29" s="49" t="s">
        <v>41</v>
      </c>
      <c r="B29" s="261" t="s">
        <v>49</v>
      </c>
      <c r="C29" s="261"/>
      <c r="D29" s="261"/>
      <c r="E29" s="261"/>
      <c r="F29" s="261"/>
      <c r="G29" s="261"/>
      <c r="H29" s="261"/>
      <c r="I29" s="261"/>
      <c r="J29" s="261"/>
      <c r="K29" s="261"/>
      <c r="L29" s="261"/>
      <c r="M29" s="261"/>
      <c r="N29" s="261"/>
    </row>
    <row r="30" spans="1:14">
      <c r="A30" s="240"/>
      <c r="B30" s="238"/>
    </row>
    <row r="31" spans="1:14">
      <c r="A31" s="49" t="s">
        <v>41</v>
      </c>
      <c r="B31" s="261" t="s">
        <v>50</v>
      </c>
      <c r="C31" s="261"/>
      <c r="D31" s="261"/>
      <c r="E31" s="261"/>
      <c r="F31" s="261"/>
      <c r="G31" s="261"/>
      <c r="H31" s="261"/>
      <c r="I31" s="261"/>
      <c r="J31" s="261"/>
      <c r="K31" s="261"/>
      <c r="L31" s="261"/>
      <c r="M31" s="261"/>
      <c r="N31" s="261"/>
    </row>
    <row r="32" spans="1:14">
      <c r="A32" s="240"/>
      <c r="B32" s="238"/>
    </row>
    <row r="33" spans="1:14">
      <c r="A33" s="49" t="s">
        <v>41</v>
      </c>
      <c r="B33" s="261" t="s">
        <v>51</v>
      </c>
      <c r="C33" s="261"/>
      <c r="D33" s="261"/>
      <c r="E33" s="261"/>
      <c r="F33" s="261"/>
      <c r="G33" s="261"/>
      <c r="H33" s="261"/>
      <c r="I33" s="261"/>
      <c r="J33" s="261"/>
      <c r="K33" s="261"/>
      <c r="L33" s="261"/>
      <c r="M33" s="261"/>
      <c r="N33" s="261"/>
    </row>
    <row r="34" spans="1:14">
      <c r="A34" s="240"/>
      <c r="B34" s="238"/>
    </row>
    <row r="35" spans="1:14">
      <c r="A35" s="49" t="s">
        <v>41</v>
      </c>
      <c r="B35" s="261" t="s">
        <v>52</v>
      </c>
      <c r="C35" s="261"/>
      <c r="D35" s="261"/>
      <c r="E35" s="261"/>
      <c r="F35" s="261"/>
      <c r="G35" s="261"/>
      <c r="H35" s="261"/>
      <c r="I35" s="261"/>
      <c r="J35" s="261"/>
      <c r="K35" s="261"/>
      <c r="L35" s="261"/>
      <c r="M35" s="261"/>
    </row>
    <row r="36" spans="1:14">
      <c r="A36" s="238"/>
    </row>
    <row r="37" spans="1:14" ht="15.6">
      <c r="A37" s="239" t="s">
        <v>53</v>
      </c>
    </row>
    <row r="38" spans="1:14">
      <c r="A38" s="238"/>
    </row>
    <row r="39" spans="1:14" ht="33.75" customHeight="1">
      <c r="A39" s="49" t="s">
        <v>41</v>
      </c>
      <c r="B39" s="257" t="s">
        <v>54</v>
      </c>
      <c r="C39" s="257"/>
      <c r="D39" s="257"/>
      <c r="E39" s="257"/>
      <c r="F39" s="257"/>
      <c r="G39" s="257"/>
      <c r="H39" s="257"/>
      <c r="I39" s="257"/>
      <c r="J39" s="257"/>
      <c r="K39" s="257"/>
      <c r="L39" s="257"/>
      <c r="M39" s="257"/>
      <c r="N39" s="257"/>
    </row>
    <row r="40" spans="1:14">
      <c r="A40" s="240"/>
      <c r="B40" s="240"/>
    </row>
    <row r="41" spans="1:14" ht="49.5" customHeight="1">
      <c r="A41" s="49" t="s">
        <v>41</v>
      </c>
      <c r="B41" s="257" t="s">
        <v>55</v>
      </c>
      <c r="C41" s="257"/>
      <c r="D41" s="257"/>
      <c r="E41" s="257"/>
      <c r="F41" s="257"/>
      <c r="G41" s="257"/>
      <c r="H41" s="257"/>
      <c r="I41" s="257"/>
      <c r="J41" s="257"/>
      <c r="K41" s="257"/>
      <c r="L41" s="257"/>
      <c r="M41" s="257"/>
      <c r="N41" s="257"/>
    </row>
    <row r="42" spans="1:14">
      <c r="A42" s="240" t="s">
        <v>56</v>
      </c>
      <c r="B42" s="238" t="s">
        <v>56</v>
      </c>
    </row>
    <row r="43" spans="1:14">
      <c r="A43" s="49" t="s">
        <v>41</v>
      </c>
      <c r="B43" s="257" t="s">
        <v>57</v>
      </c>
      <c r="C43" s="257"/>
      <c r="D43" s="257"/>
      <c r="E43" s="257"/>
      <c r="F43" s="257"/>
      <c r="G43" s="257"/>
      <c r="H43" s="257"/>
      <c r="I43" s="257"/>
      <c r="J43" s="257"/>
      <c r="K43" s="257"/>
      <c r="L43" s="257"/>
      <c r="M43" s="257"/>
      <c r="N43" s="257"/>
    </row>
    <row r="44" spans="1:14">
      <c r="A44" s="240"/>
      <c r="B44" s="238"/>
    </row>
    <row r="45" spans="1:14">
      <c r="A45" s="49" t="s">
        <v>41</v>
      </c>
      <c r="B45" s="257" t="s">
        <v>58</v>
      </c>
      <c r="C45" s="257"/>
      <c r="D45" s="257"/>
      <c r="E45" s="257"/>
      <c r="F45" s="257"/>
      <c r="G45" s="257"/>
      <c r="H45" s="257"/>
      <c r="I45" s="257"/>
      <c r="J45" s="257"/>
      <c r="K45" s="257"/>
      <c r="L45" s="257"/>
      <c r="M45" s="257"/>
      <c r="N45" s="257"/>
    </row>
    <row r="46" spans="1:14">
      <c r="A46" s="240"/>
      <c r="B46" s="238"/>
    </row>
    <row r="47" spans="1:14">
      <c r="A47" s="49" t="s">
        <v>41</v>
      </c>
      <c r="B47" s="238" t="s">
        <v>59</v>
      </c>
    </row>
    <row r="48" spans="1:14">
      <c r="A48" s="240"/>
    </row>
    <row r="49" spans="1:14" ht="51.6" customHeight="1">
      <c r="C49" s="257" t="s">
        <v>60</v>
      </c>
      <c r="D49" s="257"/>
      <c r="E49" s="257"/>
      <c r="F49" s="257"/>
      <c r="G49" s="257"/>
      <c r="H49" s="257"/>
      <c r="I49" s="257"/>
      <c r="J49" s="257"/>
      <c r="K49" s="257"/>
      <c r="L49" s="257"/>
      <c r="M49" s="257"/>
      <c r="N49" s="257"/>
    </row>
    <row r="50" spans="1:14">
      <c r="A50" s="241"/>
    </row>
    <row r="51" spans="1:14" ht="62.25" customHeight="1">
      <c r="C51" s="257" t="s">
        <v>61</v>
      </c>
      <c r="D51" s="257"/>
      <c r="E51" s="257"/>
      <c r="F51" s="257"/>
      <c r="G51" s="257"/>
      <c r="H51" s="257"/>
      <c r="I51" s="257"/>
      <c r="J51" s="257"/>
      <c r="K51" s="257"/>
      <c r="L51" s="257"/>
      <c r="M51" s="257"/>
      <c r="N51" s="257"/>
    </row>
    <row r="52" spans="1:14">
      <c r="A52" s="241"/>
    </row>
    <row r="53" spans="1:14" ht="34.5" customHeight="1">
      <c r="A53" s="49" t="s">
        <v>41</v>
      </c>
      <c r="B53" s="257" t="s">
        <v>62</v>
      </c>
      <c r="C53" s="257"/>
      <c r="D53" s="257"/>
      <c r="E53" s="257"/>
      <c r="F53" s="257"/>
      <c r="G53" s="257"/>
      <c r="H53" s="257"/>
      <c r="I53" s="257"/>
      <c r="J53" s="257"/>
      <c r="K53" s="257"/>
      <c r="L53" s="257"/>
      <c r="M53" s="257"/>
      <c r="N53" s="257"/>
    </row>
    <row r="54" spans="1:14">
      <c r="A54" s="238"/>
    </row>
    <row r="55" spans="1:14" ht="15.6">
      <c r="A55" s="239" t="s">
        <v>63</v>
      </c>
    </row>
    <row r="56" spans="1:14">
      <c r="A56" s="238"/>
    </row>
    <row r="57" spans="1:14" ht="65.25" customHeight="1">
      <c r="A57" s="257" t="s">
        <v>64</v>
      </c>
      <c r="B57" s="257"/>
      <c r="C57" s="257"/>
      <c r="D57" s="257"/>
      <c r="E57" s="257"/>
      <c r="F57" s="257"/>
      <c r="G57" s="257"/>
      <c r="H57" s="257"/>
      <c r="I57" s="257"/>
      <c r="J57" s="257"/>
      <c r="K57" s="257"/>
      <c r="L57" s="257"/>
      <c r="M57" s="257"/>
      <c r="N57" s="257"/>
    </row>
    <row r="58" spans="1:14">
      <c r="A58" s="240"/>
    </row>
    <row r="59" spans="1:14" ht="49.5" customHeight="1">
      <c r="A59" s="49" t="s">
        <v>41</v>
      </c>
      <c r="B59" s="262" t="s">
        <v>65</v>
      </c>
      <c r="C59" s="257"/>
      <c r="D59" s="257"/>
      <c r="E59" s="257"/>
      <c r="F59" s="257"/>
      <c r="G59" s="257"/>
      <c r="H59" s="257"/>
      <c r="I59" s="257"/>
      <c r="J59" s="257"/>
      <c r="K59" s="257"/>
      <c r="L59" s="257"/>
      <c r="M59" s="257"/>
      <c r="N59" s="257"/>
    </row>
    <row r="60" spans="1:14">
      <c r="A60" s="241"/>
    </row>
    <row r="61" spans="1:14" ht="32.25" customHeight="1">
      <c r="A61" s="49" t="s">
        <v>41</v>
      </c>
      <c r="B61" s="257" t="s">
        <v>66</v>
      </c>
      <c r="C61" s="257"/>
      <c r="D61" s="257"/>
      <c r="E61" s="257"/>
      <c r="F61" s="257"/>
      <c r="G61" s="257"/>
      <c r="H61" s="257"/>
      <c r="I61" s="257"/>
      <c r="J61" s="257"/>
      <c r="K61" s="257"/>
      <c r="L61" s="257"/>
      <c r="M61" s="257"/>
      <c r="N61" s="257"/>
    </row>
    <row r="62" spans="1:14">
      <c r="A62" s="240"/>
    </row>
    <row r="63" spans="1:14" ht="48" customHeight="1">
      <c r="A63" s="49" t="s">
        <v>41</v>
      </c>
      <c r="B63" s="257" t="s">
        <v>513</v>
      </c>
      <c r="C63" s="257"/>
      <c r="D63" s="257"/>
      <c r="E63" s="257"/>
      <c r="F63" s="257"/>
      <c r="G63" s="257"/>
      <c r="H63" s="257"/>
      <c r="I63" s="257"/>
      <c r="J63" s="257"/>
      <c r="K63" s="257"/>
      <c r="L63" s="257"/>
      <c r="M63" s="257"/>
      <c r="N63" s="257"/>
    </row>
    <row r="64" spans="1:14">
      <c r="A64" s="242"/>
    </row>
    <row r="65" spans="1:14" ht="39.75" customHeight="1">
      <c r="A65" s="49" t="s">
        <v>41</v>
      </c>
      <c r="B65" s="263" t="s">
        <v>67</v>
      </c>
      <c r="C65" s="257"/>
      <c r="D65" s="257"/>
      <c r="E65" s="257"/>
      <c r="F65" s="257"/>
      <c r="G65" s="257"/>
      <c r="H65" s="257"/>
      <c r="I65" s="257"/>
      <c r="J65" s="257"/>
      <c r="K65" s="257"/>
      <c r="L65" s="257"/>
      <c r="M65" s="257"/>
      <c r="N65" s="257"/>
    </row>
    <row r="66" spans="1:14" ht="57" customHeight="1">
      <c r="B66" s="257" t="s">
        <v>68</v>
      </c>
      <c r="C66" s="257"/>
      <c r="D66" s="257"/>
      <c r="E66" s="257"/>
      <c r="F66" s="257"/>
      <c r="G66" s="257"/>
      <c r="H66" s="257"/>
      <c r="I66" s="257"/>
      <c r="J66" s="257"/>
      <c r="K66" s="257"/>
      <c r="L66" s="257"/>
      <c r="M66" s="257"/>
      <c r="N66" s="257"/>
    </row>
    <row r="67" spans="1:14">
      <c r="A67" s="240"/>
    </row>
    <row r="68" spans="1:14" ht="31.5" customHeight="1">
      <c r="A68" s="49" t="s">
        <v>41</v>
      </c>
      <c r="B68" s="257" t="s">
        <v>69</v>
      </c>
      <c r="C68" s="257"/>
      <c r="D68" s="257"/>
      <c r="E68" s="257"/>
      <c r="F68" s="257"/>
      <c r="G68" s="257"/>
      <c r="H68" s="257"/>
      <c r="I68" s="257"/>
      <c r="J68" s="257"/>
      <c r="K68" s="257"/>
      <c r="L68" s="257"/>
      <c r="M68" s="257"/>
      <c r="N68" s="257"/>
    </row>
  </sheetData>
  <sheetProtection algorithmName="SHA-512" hashValue="yi+eyIX4i6DZa9WCbjCbYhES0JvTbN7v7bs6yqpYnE/VE5uQB0uuqAwajZ28+JgpCRNH+prjI1HXATmjBZ4IYA==" saltValue="wtk+51cYUO+Cpboq0+2p2Q==" spinCount="100000" sheet="1" objects="1" scenarios="1"/>
  <mergeCells count="28">
    <mergeCell ref="B68:N68"/>
    <mergeCell ref="B66:N66"/>
    <mergeCell ref="B17:N17"/>
    <mergeCell ref="B19:N19"/>
    <mergeCell ref="B21:N21"/>
    <mergeCell ref="B23:N23"/>
    <mergeCell ref="B25:N25"/>
    <mergeCell ref="B29:N29"/>
    <mergeCell ref="B31:N31"/>
    <mergeCell ref="A57:N57"/>
    <mergeCell ref="B59:N59"/>
    <mergeCell ref="B61:N61"/>
    <mergeCell ref="B63:N63"/>
    <mergeCell ref="B65:N65"/>
    <mergeCell ref="B41:N41"/>
    <mergeCell ref="B43:N43"/>
    <mergeCell ref="B45:N45"/>
    <mergeCell ref="C49:N49"/>
    <mergeCell ref="C51:N51"/>
    <mergeCell ref="B53:N53"/>
    <mergeCell ref="A2:N2"/>
    <mergeCell ref="A3:N3"/>
    <mergeCell ref="A7:N7"/>
    <mergeCell ref="A9:N9"/>
    <mergeCell ref="A13:N13"/>
    <mergeCell ref="B39:N39"/>
    <mergeCell ref="B33:N33"/>
    <mergeCell ref="B35:M3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N29"/>
  <sheetViews>
    <sheetView showGridLines="0" tabSelected="1" zoomScale="70" zoomScaleNormal="70" workbookViewId="0">
      <pane ySplit="3" topLeftCell="A4" activePane="bottomLeft" state="frozen"/>
      <selection pane="bottomLeft" activeCell="G14" sqref="G14"/>
    </sheetView>
  </sheetViews>
  <sheetFormatPr defaultColWidth="8.90625" defaultRowHeight="15"/>
  <cols>
    <col min="1" max="1" width="18.81640625" customWidth="1"/>
    <col min="2" max="2" width="83.54296875" customWidth="1"/>
    <col min="3" max="3" width="9.81640625" customWidth="1"/>
    <col min="4" max="4" width="5.54296875" customWidth="1"/>
    <col min="5" max="5" width="22.54296875" customWidth="1"/>
    <col min="6" max="6" width="14.81640625" customWidth="1"/>
    <col min="7" max="7" width="23.54296875" customWidth="1"/>
    <col min="9" max="9" width="12.90625" customWidth="1"/>
    <col min="10" max="10" width="11.54296875" customWidth="1"/>
    <col min="11" max="11" width="6.6328125" customWidth="1"/>
    <col min="14" max="14" width="9.1796875" bestFit="1" customWidth="1"/>
  </cols>
  <sheetData>
    <row r="1" spans="1:10" ht="21.6" thickBot="1">
      <c r="A1" s="17" t="s">
        <v>522</v>
      </c>
      <c r="B1" s="19" t="s">
        <v>71</v>
      </c>
      <c r="C1" s="264" t="s">
        <v>72</v>
      </c>
      <c r="D1" s="265"/>
      <c r="E1" s="1"/>
      <c r="F1" s="51" t="e">
        <f>VLOOKUP(E1,Lookup!A:D,4,0)</f>
        <v>#N/A</v>
      </c>
      <c r="H1" s="51">
        <f>IF(E1=0,0,1)</f>
        <v>0</v>
      </c>
    </row>
    <row r="2" spans="1:10" ht="30" customHeight="1">
      <c r="A2" s="19" t="s">
        <v>73</v>
      </c>
      <c r="B2" s="270" t="str">
        <f>IFERROR(VLOOKUP(E1,Lookup!A:N,2,FALSE),"")</f>
        <v/>
      </c>
      <c r="C2" s="270"/>
      <c r="D2" s="270"/>
      <c r="E2" s="20"/>
      <c r="F2" s="296"/>
      <c r="G2" s="296"/>
      <c r="H2" s="296"/>
    </row>
    <row r="3" spans="1:10" ht="30" customHeight="1" thickBot="1">
      <c r="A3" s="269" t="s">
        <v>74</v>
      </c>
      <c r="B3" s="269"/>
      <c r="C3" s="269"/>
      <c r="D3" s="269"/>
      <c r="E3" s="269"/>
    </row>
    <row r="4" spans="1:10" ht="30" customHeight="1">
      <c r="A4" s="271" t="s">
        <v>75</v>
      </c>
      <c r="B4" s="272"/>
      <c r="C4" s="272"/>
      <c r="D4" s="21" t="s">
        <v>76</v>
      </c>
      <c r="E4" s="22" t="s">
        <v>77</v>
      </c>
    </row>
    <row r="5" spans="1:10" ht="39" customHeight="1">
      <c r="A5" s="266" t="s">
        <v>78</v>
      </c>
      <c r="B5" s="267"/>
      <c r="C5" s="268"/>
      <c r="D5" s="212" t="s">
        <v>79</v>
      </c>
      <c r="E5" s="256"/>
      <c r="F5" s="284" t="str">
        <f>IF(E5&gt;0,"You are showing a Year End Revenue Deficit","")</f>
        <v/>
      </c>
      <c r="G5" s="285"/>
    </row>
    <row r="6" spans="1:10" ht="17.399999999999999">
      <c r="A6" s="276" t="str">
        <f>IFERROR("Year end forecast figure as at nine month monitoring return"&amp;IF(OR(E1="",E5=""),"",IF(E6&lt;0," was a surplus"," was a deficit")),"")</f>
        <v>Year end forecast figure as at nine month monitoring return</v>
      </c>
      <c r="B6" s="274"/>
      <c r="C6" s="275"/>
      <c r="D6" s="213" t="s">
        <v>80</v>
      </c>
      <c r="E6" s="214" t="str">
        <f>IFERROR(ROUND(VLOOKUP(E1,Lookup!A:N,14,FALSE),2),"")</f>
        <v/>
      </c>
    </row>
    <row r="7" spans="1:10" ht="39.9" customHeight="1">
      <c r="A7" s="273" t="s">
        <v>81</v>
      </c>
      <c r="B7" s="274"/>
      <c r="C7" s="275"/>
      <c r="D7" s="215" t="s">
        <v>82</v>
      </c>
      <c r="E7" s="214" t="str">
        <f>IFERROR(ROUND((E5-E6),2),"")</f>
        <v/>
      </c>
      <c r="H7" s="41"/>
      <c r="I7" s="53"/>
    </row>
    <row r="8" spans="1:10" ht="21" customHeight="1">
      <c r="A8" s="277" t="str">
        <f>IF(E5="","",IFERROR(IF(VLOOKUP(E1,Lookup!A:Q,17,FALSE)="Within Tolerance","The figure in Row C is less than £10,000 or 15% of the figure is Row A therefore NO explanation is required below","The figure in Row C of £"&amp;IF(E7&gt;0,TEXT(E7,"#,##0.00"),TEXT(-E7,"#,##0.00"))&amp;" is more than we would expect, please enter a brief description below to explain the reason."),""))</f>
        <v/>
      </c>
      <c r="B8" s="278"/>
      <c r="C8" s="278"/>
      <c r="D8" s="278"/>
      <c r="E8" s="279"/>
      <c r="H8" s="41"/>
    </row>
    <row r="9" spans="1:10" ht="60.6" customHeight="1" thickBot="1">
      <c r="A9" s="370"/>
      <c r="B9" s="371"/>
      <c r="C9" s="371"/>
      <c r="D9" s="371"/>
      <c r="E9" s="372"/>
      <c r="H9" s="47"/>
    </row>
    <row r="10" spans="1:10" ht="2.4" customHeight="1" thickBot="1">
      <c r="A10" s="216"/>
      <c r="B10" s="217"/>
      <c r="C10" s="217"/>
      <c r="D10" s="217"/>
      <c r="E10" s="218"/>
    </row>
    <row r="11" spans="1:10" ht="21">
      <c r="A11" s="317" t="s">
        <v>83</v>
      </c>
      <c r="B11" s="318"/>
      <c r="C11" s="319"/>
      <c r="D11" s="219" t="s">
        <v>76</v>
      </c>
      <c r="E11" s="220" t="s">
        <v>77</v>
      </c>
    </row>
    <row r="12" spans="1:10" ht="17.399999999999999">
      <c r="A12" s="316" t="s">
        <v>84</v>
      </c>
      <c r="B12" s="316"/>
      <c r="C12" s="316"/>
      <c r="D12" s="212" t="s">
        <v>79</v>
      </c>
      <c r="E12" s="221">
        <f>E5</f>
        <v>0</v>
      </c>
    </row>
    <row r="13" spans="1:10" ht="39.9" customHeight="1">
      <c r="A13" s="280" t="str">
        <f>IFERROR(IF(AND(E1&gt;1100,E1&lt;2000),"Please enter your total income for 2025-26 in cell F13 highlighted in yellow, your BCM figure is 12% of your income",("Allowable Balance Control Mechanism (BCM)  (March Statement of account totals for (I01+I02+I03+I05+I06) * "&amp;TEXT(VLOOKUP(E1,Lookup!A:E,5,FALSE),"##.##%")&amp;")")),"Allowable Balance Control Mechanism (BCM)")</f>
        <v>Allowable Balance Control Mechanism (BCM)</v>
      </c>
      <c r="B13" s="281"/>
      <c r="C13" s="281"/>
      <c r="D13" s="222" t="s">
        <v>85</v>
      </c>
      <c r="E13" s="221" t="str">
        <f>IFERROR(IF(AND(E1&gt;1100,E1&lt;2000),F13*12%,ROUND(VLOOKUP(E1,Lookup!A:N,3,FALSE),2)),"")</f>
        <v/>
      </c>
      <c r="F13" s="86"/>
      <c r="G13" s="63"/>
      <c r="H13" s="54"/>
    </row>
    <row r="14" spans="1:10" ht="39.9" customHeight="1">
      <c r="A14" s="282" t="str">
        <f>IF(E14&gt;0,"You have exceeded your allowable Balance Control Mechanism figure (BCM)","You are within your allowable Balance Control Mechanism figure (BCM)")</f>
        <v>You are within your allowable Balance Control Mechanism figure (BCM)</v>
      </c>
      <c r="B14" s="283"/>
      <c r="C14" s="283"/>
      <c r="D14" s="212" t="s">
        <v>86</v>
      </c>
      <c r="E14" s="223">
        <f>IFERROR(ROUND(IF(E5+E13&gt;0,0,-(E5+E13)),2),0)</f>
        <v>0</v>
      </c>
    </row>
    <row r="15" spans="1:10" ht="17.399999999999999">
      <c r="A15" s="313" t="str">
        <f>IF(E14=0,"Section 2.1 - This section is not applicable as you are not over your BCM allowable.","Section 2.1  BCM breakdown - complete rows F to I (total must not be greater than the amount you are over your BCM by ("&amp;TEXT(ROUND(E14,2),"£#,###.00")&amp;"))")</f>
        <v>Section 2.1 - This section is not applicable as you are not over your BCM allowable.</v>
      </c>
      <c r="B15" s="314"/>
      <c r="C15" s="314"/>
      <c r="D15" s="314"/>
      <c r="E15" s="315"/>
    </row>
    <row r="16" spans="1:10" ht="34.5" customHeight="1">
      <c r="A16" s="306" t="s">
        <v>87</v>
      </c>
      <c r="B16" s="307"/>
      <c r="C16" s="308"/>
      <c r="D16" s="27" t="s">
        <v>88</v>
      </c>
      <c r="E16" s="14"/>
      <c r="F16" s="287" t="str">
        <f>IF(AND(E16&lt;&gt;0,SUM(E12:E14)=0),"Details are required in worksheet 4.1_Capital","")</f>
        <v/>
      </c>
      <c r="G16" s="287"/>
      <c r="H16" s="305" t="str">
        <f>IFERROR(IF(ROUND((SUM(E16:E19)-E14),2)=0,"",IF(ROUND(E14-SUM(E16:E19),2)&lt;0,"The current total of Rows F to I is more than the amount over your BCM by "&amp;TEXT(ROUND((E14-SUM(E16:E19)),2),"£#,###.00")&amp;CHAR(10)&amp;CHAR(10)&amp;"You need to ensure that this total is equal to the amount over BCM (Row E).","The current total of Rows F to I is less than the amount over your BCM by "&amp;TEXT(ROUND((E14-SUM(E16:E19)),2),"£#,###.00")&amp;CHAR(10)&amp;CHAR(10)&amp;"This amount may be subject to clawback (Row J).")),"")</f>
        <v/>
      </c>
      <c r="I16" s="305"/>
      <c r="J16" s="305"/>
    </row>
    <row r="17" spans="1:14" ht="34.5" customHeight="1">
      <c r="A17" s="306" t="s">
        <v>89</v>
      </c>
      <c r="B17" s="307"/>
      <c r="C17" s="308"/>
      <c r="D17" s="28" t="s">
        <v>90</v>
      </c>
      <c r="E17" s="15">
        <v>0</v>
      </c>
      <c r="F17" s="287" t="str">
        <f>IF(AND(E17&lt;&gt;0,SUM('4.2_Other_Schools'!D13:D16)=0),"Details are required in worksheet 4.2_Other_schools","")</f>
        <v/>
      </c>
      <c r="G17" s="287"/>
      <c r="H17" s="305"/>
      <c r="I17" s="305"/>
      <c r="J17" s="305"/>
    </row>
    <row r="18" spans="1:14" ht="34.5" customHeight="1">
      <c r="A18" s="306" t="s">
        <v>91</v>
      </c>
      <c r="B18" s="307"/>
      <c r="C18" s="308"/>
      <c r="D18" s="161" t="s">
        <v>92</v>
      </c>
      <c r="E18" s="158">
        <v>0</v>
      </c>
      <c r="F18" s="287" t="str">
        <f>IF(AND(E18&lt;&gt;0,SUM('4.3_Late_allocations'!G14:G17)=0),"Details are required in worksheet 4.3_Late_allocations","")</f>
        <v/>
      </c>
      <c r="G18" s="287"/>
      <c r="H18" s="305"/>
      <c r="I18" s="305"/>
      <c r="J18" s="305"/>
    </row>
    <row r="19" spans="1:14" ht="34.5" customHeight="1" thickBot="1">
      <c r="A19" s="309" t="s">
        <v>93</v>
      </c>
      <c r="B19" s="310"/>
      <c r="C19" s="292"/>
      <c r="D19" s="160" t="s">
        <v>94</v>
      </c>
      <c r="E19" s="159">
        <v>0</v>
      </c>
      <c r="F19" s="287" t="str">
        <f>IF(AND(E19&lt;&gt;0,SUM('4.4_Other_grant_income'!$C$14:$C$17)=0),"Details are required in worksheet 4.4_Other_income","")</f>
        <v/>
      </c>
      <c r="G19" s="287"/>
      <c r="H19" s="305"/>
      <c r="I19" s="305"/>
      <c r="J19" s="305"/>
      <c r="N19" s="54"/>
    </row>
    <row r="20" spans="1:14" ht="36" customHeight="1" thickBot="1">
      <c r="A20" s="311" t="s">
        <v>95</v>
      </c>
      <c r="B20" s="312"/>
      <c r="C20" s="312"/>
      <c r="D20" s="37" t="s">
        <v>96</v>
      </c>
      <c r="E20" s="38">
        <f>(ROUND(SUM(E16:E19),2))-E14</f>
        <v>0</v>
      </c>
      <c r="F20" s="226"/>
      <c r="G20" s="227"/>
      <c r="H20" s="228"/>
      <c r="I20" s="228"/>
      <c r="J20" s="228"/>
    </row>
    <row r="21" spans="1:14" ht="36" customHeight="1">
      <c r="A21" s="311" t="s">
        <v>97</v>
      </c>
      <c r="B21" s="312"/>
      <c r="C21" s="312"/>
      <c r="D21" s="37" t="s">
        <v>85</v>
      </c>
      <c r="E21" s="38" t="e">
        <f>ROUND(E13,2)</f>
        <v>#VALUE!</v>
      </c>
      <c r="F21" s="226"/>
      <c r="G21" s="227"/>
      <c r="H21" s="228"/>
      <c r="I21" s="228"/>
      <c r="J21" s="228"/>
    </row>
    <row r="22" spans="1:14" ht="18" thickBot="1">
      <c r="A22" s="302" t="s">
        <v>98</v>
      </c>
      <c r="B22" s="303"/>
      <c r="C22" s="304"/>
      <c r="D22" s="39" t="s">
        <v>79</v>
      </c>
      <c r="E22" s="30" t="e">
        <f>ROUND(SUM(E20:E21),2)</f>
        <v>#VALUE!</v>
      </c>
      <c r="F22" s="289" t="str">
        <f>IF(E14=0,"",IF(ROUND(SUM(E16:E19)+E21+E5,2)&lt;0,"You have "&amp;TEXT(ROUND((SUM(E16:E19)+E21+E5)*-1,2),"£#,###.00")&amp;" that may be subject to clawback",IF(ROUND(SUM(E16:E19)+E21+E5,2)&gt;0,"You have allocated "&amp;TEXT(ROUND((E5+E21+SUM(E16:E19)),2),"£#,###.00")&amp;" too much","")))</f>
        <v/>
      </c>
      <c r="G22" s="290"/>
      <c r="H22" s="290"/>
      <c r="I22" s="290"/>
      <c r="J22" s="229"/>
    </row>
    <row r="23" spans="1:14" ht="22.8">
      <c r="A23" s="299" t="s">
        <v>99</v>
      </c>
      <c r="B23" s="300"/>
      <c r="C23" s="300"/>
      <c r="D23" s="300"/>
      <c r="E23" s="301"/>
      <c r="F23" s="230"/>
      <c r="G23" s="224"/>
      <c r="H23" s="225"/>
      <c r="I23" s="225"/>
      <c r="J23" s="225"/>
    </row>
    <row r="24" spans="1:14" ht="39.9" customHeight="1">
      <c r="A24" s="297" t="s">
        <v>100</v>
      </c>
      <c r="B24" s="298"/>
      <c r="C24" s="26" t="s">
        <v>101</v>
      </c>
      <c r="D24" s="23" t="s">
        <v>96</v>
      </c>
      <c r="E24" s="32">
        <f>ROUND(SUM(E16:E19),2)</f>
        <v>0</v>
      </c>
      <c r="F24" s="231"/>
      <c r="G24" s="231"/>
      <c r="H24" s="231"/>
      <c r="I24" s="231"/>
      <c r="J24" s="231"/>
    </row>
    <row r="25" spans="1:14" ht="39.9" customHeight="1">
      <c r="A25" s="297" t="s">
        <v>102</v>
      </c>
      <c r="B25" s="298"/>
      <c r="C25" s="26" t="s">
        <v>103</v>
      </c>
      <c r="D25" s="23" t="s">
        <v>104</v>
      </c>
      <c r="E25" s="16"/>
      <c r="F25" s="231"/>
      <c r="G25" s="231"/>
      <c r="H25" s="231"/>
      <c r="I25" s="231"/>
      <c r="J25" s="231"/>
    </row>
    <row r="26" spans="1:14" ht="39.9" customHeight="1">
      <c r="A26" s="291" t="s">
        <v>105</v>
      </c>
      <c r="B26" s="292"/>
      <c r="C26" s="35" t="s">
        <v>101</v>
      </c>
      <c r="D26" s="35" t="s">
        <v>106</v>
      </c>
      <c r="E26" s="36"/>
      <c r="F26" s="231"/>
      <c r="G26" s="231"/>
      <c r="H26" s="231"/>
      <c r="I26" s="231"/>
      <c r="J26" s="231"/>
    </row>
    <row r="27" spans="1:14" ht="40.200000000000003" customHeight="1">
      <c r="A27" s="291" t="s">
        <v>107</v>
      </c>
      <c r="B27" s="295"/>
      <c r="C27" s="35" t="s">
        <v>108</v>
      </c>
      <c r="D27" s="35" t="s">
        <v>109</v>
      </c>
      <c r="E27" s="36"/>
      <c r="F27" s="231"/>
      <c r="G27" s="231"/>
      <c r="H27" s="231"/>
      <c r="I27" s="231"/>
      <c r="J27" s="231"/>
    </row>
    <row r="28" spans="1:14" ht="39.9" customHeight="1" thickBot="1">
      <c r="A28" s="293" t="s">
        <v>110</v>
      </c>
      <c r="B28" s="294"/>
      <c r="C28" s="294"/>
      <c r="D28" s="29" t="s">
        <v>111</v>
      </c>
      <c r="E28" s="232">
        <f>ROUND(SUM(E24:E27),2)</f>
        <v>0</v>
      </c>
      <c r="F28" s="288" t="str">
        <f>IF(H1=0,"",IF(-E28=E5,"CORRECT","This amount must match Row A"))</f>
        <v/>
      </c>
      <c r="G28" s="288"/>
      <c r="H28" s="286" t="str">
        <f>IF(E5+E28&lt;0,"You still have "&amp;TEXT(ROUND((E5+E28)*-1,2),"£#,###.00")&amp;" to allocate",IF(E5+E28&gt;0,"You have allocated "&amp;TEXT(ROUND((E5+E28),2),"£#,###.00")&amp;" too much",""))</f>
        <v/>
      </c>
      <c r="I28" s="286"/>
      <c r="J28" s="286"/>
    </row>
    <row r="29" spans="1:14" ht="14.25" customHeight="1">
      <c r="A29" s="24"/>
      <c r="B29" s="25"/>
      <c r="C29" s="25"/>
      <c r="D29" s="33"/>
      <c r="E29" s="34"/>
      <c r="F29" s="57"/>
      <c r="G29" s="57"/>
      <c r="H29" s="33"/>
      <c r="I29" s="33"/>
      <c r="J29" s="33"/>
    </row>
  </sheetData>
  <sheetProtection algorithmName="SHA-512" hashValue="Rl082iIZ6N0lIXCF5NGCLd33tzXKznLQI7iaiuZaaheaTU1MwXgHS9KUpim1TnnnWWfbdZ0R0xwBgGuwrYSA8w==" saltValue="cKnN5zwdTgDQbvGHPdP8Ew==" spinCount="100000" sheet="1" objects="1" scenarios="1"/>
  <protectedRanges>
    <protectedRange sqref="D23 D5:D9 D12:D15" name="Range1"/>
  </protectedRanges>
  <mergeCells count="37">
    <mergeCell ref="F2:H2"/>
    <mergeCell ref="A24:B24"/>
    <mergeCell ref="A23:E23"/>
    <mergeCell ref="A25:B25"/>
    <mergeCell ref="A22:C22"/>
    <mergeCell ref="H16:J19"/>
    <mergeCell ref="F19:G19"/>
    <mergeCell ref="A16:C16"/>
    <mergeCell ref="A17:C17"/>
    <mergeCell ref="A18:C18"/>
    <mergeCell ref="A19:C19"/>
    <mergeCell ref="A21:C21"/>
    <mergeCell ref="A20:C20"/>
    <mergeCell ref="A15:E15"/>
    <mergeCell ref="A12:C12"/>
    <mergeCell ref="A11:C11"/>
    <mergeCell ref="A13:C13"/>
    <mergeCell ref="A14:C14"/>
    <mergeCell ref="F5:G5"/>
    <mergeCell ref="H28:J28"/>
    <mergeCell ref="F17:G17"/>
    <mergeCell ref="F16:G16"/>
    <mergeCell ref="F18:G18"/>
    <mergeCell ref="F28:G28"/>
    <mergeCell ref="F22:I22"/>
    <mergeCell ref="A26:B26"/>
    <mergeCell ref="A28:C28"/>
    <mergeCell ref="A27:B27"/>
    <mergeCell ref="C1:D1"/>
    <mergeCell ref="A5:C5"/>
    <mergeCell ref="A3:E3"/>
    <mergeCell ref="B2:D2"/>
    <mergeCell ref="A9:E9"/>
    <mergeCell ref="A4:C4"/>
    <mergeCell ref="A7:C7"/>
    <mergeCell ref="A6:C6"/>
    <mergeCell ref="A8:E8"/>
  </mergeCells>
  <phoneticPr fontId="0" type="noConversion"/>
  <conditionalFormatting sqref="A16:A18">
    <cfRule type="expression" dxfId="82" priority="8">
      <formula>$E$14=0</formula>
    </cfRule>
  </conditionalFormatting>
  <conditionalFormatting sqref="A8:E8">
    <cfRule type="containsText" dxfId="81" priority="30" stopIfTrue="1" operator="containsText" text="less than ">
      <formula>NOT(ISERROR(SEARCH("less than ",A8)))</formula>
    </cfRule>
    <cfRule type="containsText" dxfId="80" priority="33" stopIfTrue="1" operator="containsText" text="Enter a brief">
      <formula>NOT(ISERROR(SEARCH("Enter a brief",A8)))</formula>
    </cfRule>
  </conditionalFormatting>
  <conditionalFormatting sqref="A9:E9">
    <cfRule type="expression" dxfId="79" priority="27">
      <formula>SEARCH("less than",A8)</formula>
    </cfRule>
    <cfRule type="expression" dxfId="78" priority="31" stopIfTrue="1">
      <formula>$A$8="Enter a brief description below for the amount in row E"</formula>
    </cfRule>
    <cfRule type="containsText" dxfId="77" priority="37" stopIfTrue="1" operator="containsText" text="Within">
      <formula>NOT(ISERROR(SEARCH("Within",A9)))</formula>
    </cfRule>
  </conditionalFormatting>
  <conditionalFormatting sqref="A16:E22">
    <cfRule type="expression" dxfId="76" priority="3" stopIfTrue="1">
      <formula>$E$14=0</formula>
    </cfRule>
  </conditionalFormatting>
  <conditionalFormatting sqref="A20:E20">
    <cfRule type="expression" dxfId="75" priority="2">
      <formula>$E$14=0</formula>
    </cfRule>
  </conditionalFormatting>
  <conditionalFormatting sqref="D12">
    <cfRule type="expression" priority="19" stopIfTrue="1">
      <formula>$E$1=""</formula>
    </cfRule>
  </conditionalFormatting>
  <conditionalFormatting sqref="D16:E18">
    <cfRule type="expression" dxfId="74" priority="22">
      <formula>$E$14=0</formula>
    </cfRule>
  </conditionalFormatting>
  <conditionalFormatting sqref="E22">
    <cfRule type="expression" dxfId="73" priority="4">
      <formula>$E$22+$E$5&lt;0</formula>
    </cfRule>
    <cfRule type="expression" dxfId="72" priority="12">
      <formula>$E$22+$E$5&gt;0</formula>
    </cfRule>
  </conditionalFormatting>
  <conditionalFormatting sqref="E28 E5">
    <cfRule type="expression" dxfId="71" priority="47" stopIfTrue="1">
      <formula>$E$28&lt;&gt;-$E$5</formula>
    </cfRule>
  </conditionalFormatting>
  <conditionalFormatting sqref="E28:E29 D5">
    <cfRule type="expression" priority="46" stopIfTrue="1">
      <formula>$E$1=""</formula>
    </cfRule>
  </conditionalFormatting>
  <conditionalFormatting sqref="E28:E29">
    <cfRule type="containsText" dxfId="70" priority="44" stopIfTrue="1" operator="containsText" text="The current">
      <formula>NOT(ISERROR(SEARCH("The current",E28)))</formula>
    </cfRule>
  </conditionalFormatting>
  <conditionalFormatting sqref="F2">
    <cfRule type="containsText" dxfId="69" priority="42" stopIfTrue="1" operator="containsText" text="Links">
      <formula>NOT(ISERROR(SEARCH("Links",F2)))</formula>
    </cfRule>
  </conditionalFormatting>
  <conditionalFormatting sqref="F13">
    <cfRule type="expression" dxfId="68" priority="1">
      <formula>$A$13="Please enter your total income for 2023-24 in cell F13 highlighted in yellow, your BCM figure is 12% of your income"</formula>
    </cfRule>
  </conditionalFormatting>
  <conditionalFormatting sqref="F22">
    <cfRule type="notContainsText" dxfId="67" priority="7" stopIfTrue="1" operator="notContains" text="CORRECT">
      <formula>ISERROR(SEARCH("CORRECT",F22))</formula>
    </cfRule>
  </conditionalFormatting>
  <conditionalFormatting sqref="F5:G5">
    <cfRule type="containsText" dxfId="66" priority="26" operator="containsText" text="Revenue Deficit">
      <formula>NOT(ISERROR(SEARCH("Revenue Deficit",F5)))</formula>
    </cfRule>
  </conditionalFormatting>
  <conditionalFormatting sqref="H16">
    <cfRule type="containsText" dxfId="65" priority="21" operator="containsText" text="more">
      <formula>NOT(ISERROR(SEARCH("more",H16)))</formula>
    </cfRule>
    <cfRule type="containsText" dxfId="64" priority="43" stopIfTrue="1" operator="containsText" text="less">
      <formula>NOT(ISERROR(SEARCH("less",H16)))</formula>
    </cfRule>
  </conditionalFormatting>
  <conditionalFormatting sqref="H28:H29 F28:F29">
    <cfRule type="notContainsText" dxfId="63" priority="53" stopIfTrue="1" operator="notContains" text="CORRECT">
      <formula>ISERROR(SEARCH("CORRECT",F28))</formula>
    </cfRule>
  </conditionalFormatting>
  <conditionalFormatting sqref="H28:J29">
    <cfRule type="containsText" dxfId="62" priority="34" stopIfTrue="1" operator="containsText" text="allocated">
      <formula>NOT(ISERROR(SEARCH("allocated",H28)))</formula>
    </cfRule>
    <cfRule type="containsText" dxfId="61" priority="35" stopIfTrue="1" operator="containsText" text="to allocate">
      <formula>NOT(ISERROR(SEARCH("to allocate",H28)))</formula>
    </cfRule>
  </conditionalFormatting>
  <conditionalFormatting sqref="J22">
    <cfRule type="containsText" dxfId="60" priority="5" stopIfTrue="1" operator="containsText" text="allocated">
      <formula>NOT(ISERROR(SEARCH("allocated",J22)))</formula>
    </cfRule>
    <cfRule type="containsText" dxfId="59" priority="6" stopIfTrue="1" operator="containsText" text="to allocate">
      <formula>NOT(ISERROR(SEARCH("to allocate",J22)))</formula>
    </cfRule>
  </conditionalFormatting>
  <printOptions horizontalCentered="1" verticalCentered="1"/>
  <pageMargins left="0.39370078740157483" right="0.39370078740157483" top="0.39370078740157483" bottom="0.39370078740157483" header="0.19685039370078741" footer="0.19685039370078741"/>
  <pageSetup paperSize="9" scale="58" orientation="portrait" r:id="rId1"/>
  <headerFooter alignWithMargins="0"/>
  <ignoredErrors>
    <ignoredError sqref="E21:E22" evalErro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F711F-52EC-404C-A4B4-5892E03B5497}">
  <sheetPr codeName="Sheet5">
    <tabColor theme="7" tint="0.79998168889431442"/>
  </sheetPr>
  <dimension ref="A1:M84"/>
  <sheetViews>
    <sheetView workbookViewId="0">
      <pane ySplit="4" topLeftCell="A5" activePane="bottomLeft" state="frozen"/>
      <selection pane="bottomLeft" activeCell="C17" sqref="C17"/>
    </sheetView>
  </sheetViews>
  <sheetFormatPr defaultColWidth="8.81640625" defaultRowHeight="15"/>
  <cols>
    <col min="1" max="1" width="17.453125" style="41" customWidth="1"/>
    <col min="2" max="2" width="50.81640625" style="41" customWidth="1"/>
    <col min="3" max="3" width="32" style="41" customWidth="1"/>
    <col min="4" max="4" width="17.6328125" style="41" customWidth="1"/>
    <col min="5" max="5" width="19.6328125" style="41" customWidth="1"/>
    <col min="6" max="6" width="22.453125" style="41" customWidth="1"/>
    <col min="7" max="7" width="23.453125" style="41" customWidth="1"/>
    <col min="8" max="16384" width="8.81640625" style="41"/>
  </cols>
  <sheetData>
    <row r="1" spans="1:13" ht="21.6" thickBot="1">
      <c r="A1" s="126" t="s">
        <v>70</v>
      </c>
      <c r="B1" s="327" t="s">
        <v>71</v>
      </c>
      <c r="C1" s="327"/>
      <c r="D1" s="327"/>
      <c r="E1" s="20" t="s">
        <v>72</v>
      </c>
      <c r="F1" s="1">
        <f>Balances_form!E1</f>
        <v>0</v>
      </c>
      <c r="G1" s="51" t="e">
        <f>VLOOKUP(F1,Lookup!A:D,4,0)</f>
        <v>#N/A</v>
      </c>
      <c r="I1" s="51">
        <f>IF(F1=0,0,1)</f>
        <v>0</v>
      </c>
      <c r="M1" s="52"/>
    </row>
    <row r="2" spans="1:13" ht="22.8">
      <c r="A2" s="19" t="s">
        <v>73</v>
      </c>
      <c r="B2" s="270" t="str">
        <f>Balances_form!B2</f>
        <v/>
      </c>
      <c r="C2" s="270"/>
      <c r="D2" s="270"/>
      <c r="E2" s="90"/>
      <c r="F2" s="20"/>
      <c r="J2" s="52"/>
    </row>
    <row r="3" spans="1:13" ht="22.8">
      <c r="B3" s="19"/>
      <c r="C3" s="85"/>
      <c r="D3" s="85"/>
      <c r="E3" s="85"/>
      <c r="F3" s="20"/>
      <c r="G3" s="18"/>
      <c r="H3" s="18"/>
      <c r="I3" s="18"/>
      <c r="M3" s="52"/>
    </row>
    <row r="4" spans="1:13" ht="17.399999999999999">
      <c r="A4" s="326" t="s">
        <v>112</v>
      </c>
      <c r="B4" s="326"/>
      <c r="C4" s="326"/>
      <c r="D4" s="326"/>
      <c r="E4" s="326"/>
      <c r="F4" s="125"/>
    </row>
    <row r="5" spans="1:13" ht="17.399999999999999">
      <c r="A5" s="24"/>
      <c r="B5" s="24"/>
      <c r="C5" s="24"/>
      <c r="D5" s="24"/>
      <c r="E5" s="24"/>
    </row>
    <row r="6" spans="1:13" ht="17.399999999999999">
      <c r="A6" s="48" t="s">
        <v>113</v>
      </c>
      <c r="E6" s="24"/>
    </row>
    <row r="7" spans="1:13" ht="31.2" customHeight="1">
      <c r="A7" s="257" t="s">
        <v>114</v>
      </c>
      <c r="B7" s="257"/>
      <c r="C7" s="257"/>
      <c r="D7" s="257"/>
      <c r="E7" s="257"/>
      <c r="F7" s="257"/>
    </row>
    <row r="8" spans="1:13" ht="17.399999999999999" customHeight="1">
      <c r="A8" s="257"/>
      <c r="B8" s="257"/>
      <c r="C8" s="257"/>
      <c r="D8" s="257"/>
      <c r="E8" s="257"/>
      <c r="F8" s="257"/>
    </row>
    <row r="9" spans="1:13" s="88" customFormat="1" ht="31.95" customHeight="1">
      <c r="A9" s="257"/>
      <c r="B9" s="257"/>
      <c r="C9" s="257"/>
      <c r="D9" s="257"/>
      <c r="E9" s="257"/>
      <c r="F9" s="257"/>
    </row>
    <row r="10" spans="1:13" ht="42.6" customHeight="1">
      <c r="A10" s="257"/>
      <c r="B10" s="257"/>
      <c r="C10" s="257"/>
      <c r="D10" s="257"/>
      <c r="E10" s="257"/>
      <c r="F10" s="257"/>
    </row>
    <row r="11" spans="1:13" ht="17.399999999999999">
      <c r="A11" s="24"/>
      <c r="B11" s="24"/>
      <c r="C11" s="24"/>
      <c r="D11" s="24"/>
      <c r="E11" s="24"/>
    </row>
    <row r="12" spans="1:13" ht="17.399999999999999">
      <c r="A12" s="24" t="s">
        <v>115</v>
      </c>
      <c r="B12" s="24"/>
      <c r="C12" s="24"/>
      <c r="D12" s="24"/>
      <c r="E12" s="24"/>
    </row>
    <row r="13" spans="1:13" ht="32.4" customHeight="1">
      <c r="A13" s="89" t="s">
        <v>116</v>
      </c>
      <c r="B13" s="206" t="s">
        <v>117</v>
      </c>
      <c r="C13" s="207" t="s">
        <v>118</v>
      </c>
      <c r="D13" s="207" t="s">
        <v>119</v>
      </c>
      <c r="E13" s="207" t="s">
        <v>120</v>
      </c>
      <c r="F13" s="328" t="str">
        <f>IF(Balances_form!$E$16=SUM(C14:C17),"","The total in this section must equal the total for capital projects on the '4.0_BMC_All' worksheet ("&amp;TEXT(ROUND(Balances_form!$E$16,2),"£#,###.00")&amp;")")</f>
        <v/>
      </c>
      <c r="G13" s="254"/>
    </row>
    <row r="14" spans="1:13" ht="17.399999999999999" customHeight="1">
      <c r="A14" s="91">
        <v>1</v>
      </c>
      <c r="B14" s="208" t="str">
        <f>IF($C$23="","",$C$23)</f>
        <v/>
      </c>
      <c r="C14" s="209" t="str">
        <f>IF($C$26="","",$C$26)</f>
        <v/>
      </c>
      <c r="D14" s="209" t="str">
        <f>IF($C$25="","",$C$25)</f>
        <v/>
      </c>
      <c r="E14" s="210" t="str">
        <f>IF($C$28="","",$C$28)</f>
        <v/>
      </c>
      <c r="F14" s="328"/>
      <c r="G14" s="108"/>
      <c r="H14" s="47"/>
      <c r="I14" s="47"/>
      <c r="J14" s="47"/>
      <c r="K14" s="47"/>
    </row>
    <row r="15" spans="1:13" ht="17.399999999999999">
      <c r="A15" s="91">
        <v>2</v>
      </c>
      <c r="B15" s="208" t="str">
        <f>IF($C$39="","",$C$39)</f>
        <v/>
      </c>
      <c r="C15" s="209" t="str">
        <f>IF($C$42="","",$C$42)</f>
        <v/>
      </c>
      <c r="D15" s="209" t="str">
        <f>IF($C$41="","",$C$41)</f>
        <v/>
      </c>
      <c r="E15" s="210" t="str">
        <f>IF($C$44="","",$C$44)</f>
        <v/>
      </c>
      <c r="F15" s="328"/>
      <c r="G15" s="108"/>
      <c r="H15" s="47"/>
      <c r="I15" s="47"/>
      <c r="J15" s="47"/>
      <c r="K15" s="47"/>
    </row>
    <row r="16" spans="1:13" ht="17.399999999999999">
      <c r="A16" s="91">
        <v>3</v>
      </c>
      <c r="B16" s="208" t="str">
        <f>IF($C$55="","",$C$55)</f>
        <v/>
      </c>
      <c r="C16" s="209" t="str">
        <f>IF($C$58="","",$C$58)</f>
        <v/>
      </c>
      <c r="D16" s="209" t="str">
        <f>IF($C$57="","",$C$57)</f>
        <v/>
      </c>
      <c r="E16" s="210" t="str">
        <f>IF($C$60="","",$C$60)</f>
        <v/>
      </c>
      <c r="F16" s="328"/>
      <c r="G16" s="108"/>
      <c r="H16" s="47"/>
      <c r="I16" s="47"/>
      <c r="J16" s="47"/>
      <c r="K16" s="47"/>
    </row>
    <row r="17" spans="1:11" ht="17.399999999999999">
      <c r="A17" s="91">
        <v>4</v>
      </c>
      <c r="B17" s="208" t="str">
        <f>IF($C$71="","",$C$71)</f>
        <v/>
      </c>
      <c r="C17" s="209" t="str">
        <f>IF($C$74="","",$C$74)</f>
        <v/>
      </c>
      <c r="D17" s="209" t="str">
        <f>IF($C$73="","",$C$73)</f>
        <v/>
      </c>
      <c r="E17" s="210" t="str">
        <f>IF($C$76="","",$C$76)</f>
        <v/>
      </c>
      <c r="F17" s="328"/>
      <c r="G17" s="108"/>
      <c r="H17" s="47"/>
      <c r="I17" s="47"/>
      <c r="J17" s="47"/>
      <c r="K17" s="47"/>
    </row>
    <row r="18" spans="1:11" ht="19.2" customHeight="1">
      <c r="A18" s="107" t="s">
        <v>121</v>
      </c>
      <c r="B18" s="202"/>
      <c r="C18" s="211">
        <f>SUM($C$14:$C$17)</f>
        <v>0</v>
      </c>
      <c r="D18" s="211">
        <f>SUM($D$14:$D$17)</f>
        <v>0</v>
      </c>
      <c r="E18" s="204"/>
      <c r="F18" s="328"/>
      <c r="G18" s="108"/>
      <c r="H18" s="47"/>
      <c r="I18" s="47"/>
      <c r="J18" s="47"/>
      <c r="K18" s="47"/>
    </row>
    <row r="20" spans="1:11" ht="15.6">
      <c r="A20" s="48" t="s">
        <v>122</v>
      </c>
    </row>
    <row r="21" spans="1:11" ht="16.2" thickBot="1">
      <c r="B21" s="48"/>
    </row>
    <row r="22" spans="1:11" ht="15.6">
      <c r="A22" s="329" t="s">
        <v>123</v>
      </c>
      <c r="B22" s="330"/>
      <c r="C22" s="331"/>
    </row>
    <row r="23" spans="1:11" s="87" customFormat="1" ht="15.6">
      <c r="A23" s="127">
        <v>1.1000000000000001</v>
      </c>
      <c r="B23" s="92" t="s">
        <v>124</v>
      </c>
      <c r="C23" s="186"/>
    </row>
    <row r="24" spans="1:11" ht="30.6" customHeight="1">
      <c r="A24" s="127">
        <v>1.2</v>
      </c>
      <c r="B24" s="94" t="s">
        <v>125</v>
      </c>
      <c r="C24" s="186"/>
    </row>
    <row r="25" spans="1:11" ht="17.399999999999999">
      <c r="A25" s="127">
        <v>1.3</v>
      </c>
      <c r="B25" s="94" t="s">
        <v>126</v>
      </c>
      <c r="C25" s="189"/>
    </row>
    <row r="26" spans="1:11" ht="30">
      <c r="A26" s="127">
        <v>1.4</v>
      </c>
      <c r="B26" s="94" t="s">
        <v>127</v>
      </c>
      <c r="C26" s="189"/>
    </row>
    <row r="27" spans="1:11" ht="30">
      <c r="A27" s="127">
        <v>1.5</v>
      </c>
      <c r="B27" s="96" t="s">
        <v>128</v>
      </c>
      <c r="C27" s="190"/>
    </row>
    <row r="28" spans="1:11" ht="17.399999999999999">
      <c r="A28" s="127">
        <v>1.6</v>
      </c>
      <c r="B28" s="94" t="s">
        <v>129</v>
      </c>
      <c r="C28" s="152"/>
    </row>
    <row r="29" spans="1:11" ht="33.6" customHeight="1">
      <c r="A29" s="127">
        <v>1.7</v>
      </c>
      <c r="B29" s="94" t="s">
        <v>130</v>
      </c>
      <c r="C29" s="191"/>
    </row>
    <row r="30" spans="1:11" ht="15.6">
      <c r="A30" s="127">
        <v>1.8</v>
      </c>
      <c r="B30" s="94" t="s">
        <v>131</v>
      </c>
      <c r="C30" s="191"/>
    </row>
    <row r="31" spans="1:11" ht="15.6">
      <c r="A31" s="129"/>
      <c r="C31" s="130"/>
    </row>
    <row r="32" spans="1:11" ht="15.6">
      <c r="A32" s="127"/>
      <c r="B32" s="93" t="s">
        <v>132</v>
      </c>
      <c r="C32" s="128" t="s">
        <v>133</v>
      </c>
    </row>
    <row r="33" spans="1:3" ht="15.6">
      <c r="A33" s="127" t="s">
        <v>134</v>
      </c>
      <c r="B33" s="95" t="s">
        <v>135</v>
      </c>
      <c r="C33" s="192"/>
    </row>
    <row r="34" spans="1:3" ht="15.6">
      <c r="A34" s="127" t="s">
        <v>136</v>
      </c>
      <c r="B34" s="95" t="s">
        <v>137</v>
      </c>
      <c r="C34" s="192"/>
    </row>
    <row r="35" spans="1:3" ht="30.6">
      <c r="A35" s="127" t="s">
        <v>138</v>
      </c>
      <c r="B35" s="96" t="s">
        <v>139</v>
      </c>
      <c r="C35" s="192"/>
    </row>
    <row r="36" spans="1:3" ht="16.2" thickBot="1">
      <c r="A36" s="131" t="s">
        <v>140</v>
      </c>
      <c r="B36" s="132" t="s">
        <v>141</v>
      </c>
      <c r="C36" s="193"/>
    </row>
    <row r="37" spans="1:3" ht="15.6" thickBot="1"/>
    <row r="38" spans="1:3" ht="15.6">
      <c r="A38" s="332" t="s">
        <v>142</v>
      </c>
      <c r="B38" s="333"/>
      <c r="C38" s="334"/>
    </row>
    <row r="39" spans="1:3" ht="15.6">
      <c r="A39" s="142">
        <v>2.1</v>
      </c>
      <c r="B39" s="143" t="s">
        <v>124</v>
      </c>
      <c r="C39" s="186"/>
    </row>
    <row r="40" spans="1:3" ht="30">
      <c r="A40" s="142">
        <v>2.2000000000000002</v>
      </c>
      <c r="B40" s="144" t="s">
        <v>125</v>
      </c>
      <c r="C40" s="186"/>
    </row>
    <row r="41" spans="1:3" ht="17.399999999999999">
      <c r="A41" s="142">
        <v>2.2999999999999998</v>
      </c>
      <c r="B41" s="144" t="s">
        <v>126</v>
      </c>
      <c r="C41" s="194"/>
    </row>
    <row r="42" spans="1:3" ht="45">
      <c r="A42" s="142">
        <v>2.4</v>
      </c>
      <c r="B42" s="144" t="s">
        <v>143</v>
      </c>
      <c r="C42" s="194"/>
    </row>
    <row r="43" spans="1:3" ht="30">
      <c r="A43" s="142">
        <v>2.5</v>
      </c>
      <c r="B43" s="145" t="s">
        <v>128</v>
      </c>
      <c r="C43" s="195"/>
    </row>
    <row r="44" spans="1:3" ht="17.399999999999999">
      <c r="A44" s="142">
        <v>2.6</v>
      </c>
      <c r="B44" s="144" t="s">
        <v>129</v>
      </c>
      <c r="C44" s="153"/>
    </row>
    <row r="45" spans="1:3" ht="30">
      <c r="A45" s="142">
        <v>2.7</v>
      </c>
      <c r="B45" s="144" t="s">
        <v>130</v>
      </c>
      <c r="C45" s="191"/>
    </row>
    <row r="46" spans="1:3" ht="15.6">
      <c r="A46" s="142">
        <v>2.8</v>
      </c>
      <c r="B46" s="144" t="s">
        <v>144</v>
      </c>
      <c r="C46" s="191"/>
    </row>
    <row r="47" spans="1:3" ht="15.6">
      <c r="A47" s="146"/>
      <c r="B47" s="147"/>
      <c r="C47" s="130"/>
    </row>
    <row r="48" spans="1:3" ht="15.6">
      <c r="A48" s="142"/>
      <c r="B48" s="148" t="s">
        <v>145</v>
      </c>
      <c r="C48" s="133" t="s">
        <v>133</v>
      </c>
    </row>
    <row r="49" spans="1:3" ht="15.6">
      <c r="A49" s="142" t="s">
        <v>146</v>
      </c>
      <c r="B49" s="149" t="s">
        <v>135</v>
      </c>
      <c r="C49" s="186"/>
    </row>
    <row r="50" spans="1:3" ht="15.6">
      <c r="A50" s="142" t="s">
        <v>147</v>
      </c>
      <c r="B50" s="149" t="s">
        <v>137</v>
      </c>
      <c r="C50" s="186"/>
    </row>
    <row r="51" spans="1:3" ht="30">
      <c r="A51" s="142" t="s">
        <v>148</v>
      </c>
      <c r="B51" s="145" t="s">
        <v>139</v>
      </c>
      <c r="C51" s="186"/>
    </row>
    <row r="52" spans="1:3" ht="16.2" thickBot="1">
      <c r="A52" s="150" t="s">
        <v>149</v>
      </c>
      <c r="B52" s="151" t="s">
        <v>141</v>
      </c>
      <c r="C52" s="196"/>
    </row>
    <row r="53" spans="1:3" ht="15.6" thickBot="1"/>
    <row r="54" spans="1:3" ht="15.6">
      <c r="A54" s="320" t="s">
        <v>150</v>
      </c>
      <c r="B54" s="321"/>
      <c r="C54" s="322"/>
    </row>
    <row r="55" spans="1:3" ht="15.6">
      <c r="A55" s="134">
        <v>3.1</v>
      </c>
      <c r="B55" s="102" t="s">
        <v>124</v>
      </c>
      <c r="C55" s="186"/>
    </row>
    <row r="56" spans="1:3" ht="30">
      <c r="A56" s="134">
        <v>3.2</v>
      </c>
      <c r="B56" s="104" t="s">
        <v>125</v>
      </c>
      <c r="C56" s="186"/>
    </row>
    <row r="57" spans="1:3" ht="17.399999999999999">
      <c r="A57" s="134">
        <v>3.3</v>
      </c>
      <c r="B57" s="104" t="s">
        <v>126</v>
      </c>
      <c r="C57" s="189"/>
    </row>
    <row r="58" spans="1:3" ht="30">
      <c r="A58" s="134">
        <v>3.4</v>
      </c>
      <c r="B58" s="104" t="s">
        <v>127</v>
      </c>
      <c r="C58" s="189"/>
    </row>
    <row r="59" spans="1:3" ht="30">
      <c r="A59" s="134">
        <v>3.5</v>
      </c>
      <c r="B59" s="106" t="s">
        <v>128</v>
      </c>
      <c r="C59" s="190"/>
    </row>
    <row r="60" spans="1:3" ht="17.399999999999999">
      <c r="A60" s="134">
        <v>3.6</v>
      </c>
      <c r="B60" s="104" t="s">
        <v>129</v>
      </c>
      <c r="C60" s="152"/>
    </row>
    <row r="61" spans="1:3" ht="30">
      <c r="A61" s="134">
        <v>3.7</v>
      </c>
      <c r="B61" s="104" t="s">
        <v>130</v>
      </c>
      <c r="C61" s="191"/>
    </row>
    <row r="62" spans="1:3" ht="15.6">
      <c r="A62" s="134">
        <v>3.8</v>
      </c>
      <c r="B62" s="104" t="s">
        <v>144</v>
      </c>
      <c r="C62" s="191"/>
    </row>
    <row r="63" spans="1:3" ht="15.6">
      <c r="A63" s="129"/>
      <c r="C63" s="130"/>
    </row>
    <row r="64" spans="1:3" ht="15.6">
      <c r="A64" s="134"/>
      <c r="B64" s="103" t="s">
        <v>151</v>
      </c>
      <c r="C64" s="135" t="s">
        <v>133</v>
      </c>
    </row>
    <row r="65" spans="1:3" ht="15.6">
      <c r="A65" s="134" t="s">
        <v>152</v>
      </c>
      <c r="B65" s="105" t="s">
        <v>135</v>
      </c>
      <c r="C65" s="186"/>
    </row>
    <row r="66" spans="1:3" ht="15.6">
      <c r="A66" s="134" t="s">
        <v>153</v>
      </c>
      <c r="B66" s="105" t="s">
        <v>137</v>
      </c>
      <c r="C66" s="186"/>
    </row>
    <row r="67" spans="1:3" ht="30">
      <c r="A67" s="134" t="s">
        <v>154</v>
      </c>
      <c r="B67" s="106" t="s">
        <v>139</v>
      </c>
      <c r="C67" s="186"/>
    </row>
    <row r="68" spans="1:3" ht="16.2" thickBot="1">
      <c r="A68" s="136" t="s">
        <v>155</v>
      </c>
      <c r="B68" s="137" t="s">
        <v>141</v>
      </c>
      <c r="C68" s="196"/>
    </row>
    <row r="69" spans="1:3" ht="15.6" thickBot="1"/>
    <row r="70" spans="1:3" ht="15.6">
      <c r="A70" s="323" t="s">
        <v>156</v>
      </c>
      <c r="B70" s="324"/>
      <c r="C70" s="325"/>
    </row>
    <row r="71" spans="1:3" ht="15.6">
      <c r="A71" s="138">
        <v>4.0999999999999996</v>
      </c>
      <c r="B71" s="97" t="s">
        <v>124</v>
      </c>
      <c r="C71" s="186"/>
    </row>
    <row r="72" spans="1:3" ht="30">
      <c r="A72" s="138">
        <v>4.2</v>
      </c>
      <c r="B72" s="99" t="s">
        <v>125</v>
      </c>
      <c r="C72" s="186"/>
    </row>
    <row r="73" spans="1:3" ht="17.399999999999999">
      <c r="A73" s="138">
        <v>4.3</v>
      </c>
      <c r="B73" s="99" t="s">
        <v>126</v>
      </c>
      <c r="C73" s="189"/>
    </row>
    <row r="74" spans="1:3" ht="30">
      <c r="A74" s="138">
        <v>4.4000000000000004</v>
      </c>
      <c r="B74" s="99" t="s">
        <v>127</v>
      </c>
      <c r="C74" s="189"/>
    </row>
    <row r="75" spans="1:3" ht="30">
      <c r="A75" s="138">
        <v>4.5</v>
      </c>
      <c r="B75" s="101" t="s">
        <v>128</v>
      </c>
      <c r="C75" s="195"/>
    </row>
    <row r="76" spans="1:3" ht="17.399999999999999">
      <c r="A76" s="138">
        <v>4.5999999999999996</v>
      </c>
      <c r="B76" s="99" t="s">
        <v>129</v>
      </c>
      <c r="C76" s="152"/>
    </row>
    <row r="77" spans="1:3" ht="30">
      <c r="A77" s="138">
        <v>4.7</v>
      </c>
      <c r="B77" s="99" t="s">
        <v>130</v>
      </c>
      <c r="C77" s="191"/>
    </row>
    <row r="78" spans="1:3" ht="15.6">
      <c r="A78" s="138">
        <v>4.8</v>
      </c>
      <c r="B78" s="99" t="s">
        <v>144</v>
      </c>
      <c r="C78" s="191"/>
    </row>
    <row r="79" spans="1:3" ht="15.6">
      <c r="A79" s="129"/>
      <c r="C79" s="130"/>
    </row>
    <row r="80" spans="1:3" ht="15.6">
      <c r="A80" s="138"/>
      <c r="B80" s="98" t="s">
        <v>157</v>
      </c>
      <c r="C80" s="139" t="s">
        <v>133</v>
      </c>
    </row>
    <row r="81" spans="1:3" ht="15.6">
      <c r="A81" s="138" t="s">
        <v>158</v>
      </c>
      <c r="B81" s="100" t="s">
        <v>135</v>
      </c>
      <c r="C81" s="186"/>
    </row>
    <row r="82" spans="1:3" ht="15.6">
      <c r="A82" s="138" t="s">
        <v>159</v>
      </c>
      <c r="B82" s="100" t="s">
        <v>137</v>
      </c>
      <c r="C82" s="186"/>
    </row>
    <row r="83" spans="1:3" ht="30">
      <c r="A83" s="138" t="s">
        <v>160</v>
      </c>
      <c r="B83" s="101" t="s">
        <v>139</v>
      </c>
      <c r="C83" s="186"/>
    </row>
    <row r="84" spans="1:3" ht="16.2" thickBot="1">
      <c r="A84" s="140" t="s">
        <v>161</v>
      </c>
      <c r="B84" s="141" t="s">
        <v>141</v>
      </c>
      <c r="C84" s="186"/>
    </row>
  </sheetData>
  <sheetProtection algorithmName="SHA-512" hashValue="2ovTs/AnbqPqQ1l4NE4fsMK2ivB4enRsh1uB2/V90wZITgDHy3b5ET3nr3dMzTFICrskJtLagFnctxL3kKH7UQ==" saltValue="hgAc6PgZlLR2KMGBnUBubg==" spinCount="100000" sheet="1" objects="1" scenarios="1"/>
  <mergeCells count="9">
    <mergeCell ref="A54:C54"/>
    <mergeCell ref="A70:C70"/>
    <mergeCell ref="A4:E4"/>
    <mergeCell ref="A7:F10"/>
    <mergeCell ref="B1:D1"/>
    <mergeCell ref="B2:D2"/>
    <mergeCell ref="F13:F18"/>
    <mergeCell ref="A22:C22"/>
    <mergeCell ref="A38:C38"/>
  </mergeCells>
  <phoneticPr fontId="32" type="noConversion"/>
  <conditionalFormatting sqref="A4:E5 E6 A11:E12 A13:D13 A14:B18 E13:E18 G13">
    <cfRule type="expression" dxfId="58" priority="41">
      <formula>#REF!="Section 2.1 - This section is not applicable as you are not over your BCM allowable."</formula>
    </cfRule>
  </conditionalFormatting>
  <conditionalFormatting sqref="F13">
    <cfRule type="notContainsText" dxfId="57" priority="62" stopIfTrue="1" operator="notContains" text="CORRECT">
      <formula>ISERROR(SEARCH("CORRECT",F13))</formula>
    </cfRule>
  </conditionalFormatting>
  <conditionalFormatting sqref="G3">
    <cfRule type="containsText" dxfId="56" priority="56" stopIfTrue="1" operator="containsText" text="Links">
      <formula>NOT(ISERROR(SEARCH("Links",G3)))</formula>
    </cfRule>
  </conditionalFormatting>
  <conditionalFormatting sqref="C28">
    <cfRule type="expression" dxfId="55" priority="22">
      <formula>LEN(C28)&gt;0</formula>
    </cfRule>
  </conditionalFormatting>
  <conditionalFormatting sqref="C23:C24">
    <cfRule type="expression" dxfId="54" priority="27">
      <formula>LEN(C23)&gt;0</formula>
    </cfRule>
  </conditionalFormatting>
  <conditionalFormatting sqref="C29:C30">
    <cfRule type="expression" dxfId="53" priority="26">
      <formula>LEN(C29)&gt;0</formula>
    </cfRule>
  </conditionalFormatting>
  <conditionalFormatting sqref="C33:C36">
    <cfRule type="expression" dxfId="52" priority="25">
      <formula>LEN(C33)&gt;0</formula>
    </cfRule>
  </conditionalFormatting>
  <conditionalFormatting sqref="C25:C26">
    <cfRule type="expression" dxfId="51" priority="24">
      <formula>C25&gt;0</formula>
    </cfRule>
  </conditionalFormatting>
  <conditionalFormatting sqref="C27">
    <cfRule type="expression" dxfId="50" priority="23">
      <formula>LEN(C27)&gt;0</formula>
    </cfRule>
  </conditionalFormatting>
  <conditionalFormatting sqref="C44">
    <cfRule type="expression" dxfId="49" priority="15">
      <formula>LEN(C44)&gt;0</formula>
    </cfRule>
  </conditionalFormatting>
  <conditionalFormatting sqref="C39:C40">
    <cfRule type="expression" dxfId="48" priority="20">
      <formula>LEN(C39)&gt;0</formula>
    </cfRule>
  </conditionalFormatting>
  <conditionalFormatting sqref="C45:C46">
    <cfRule type="expression" dxfId="47" priority="19">
      <formula>LEN(C45)&gt;0</formula>
    </cfRule>
  </conditionalFormatting>
  <conditionalFormatting sqref="C49:C52">
    <cfRule type="expression" dxfId="46" priority="18">
      <formula>LEN(C49)&gt;0</formula>
    </cfRule>
  </conditionalFormatting>
  <conditionalFormatting sqref="C41:C42">
    <cfRule type="expression" dxfId="45" priority="17">
      <formula>C41&gt;0</formula>
    </cfRule>
  </conditionalFormatting>
  <conditionalFormatting sqref="C43">
    <cfRule type="expression" dxfId="44" priority="16">
      <formula>LEN(C43)&gt;0</formula>
    </cfRule>
  </conditionalFormatting>
  <conditionalFormatting sqref="C60">
    <cfRule type="expression" dxfId="43" priority="8">
      <formula>LEN(C60)&gt;0</formula>
    </cfRule>
  </conditionalFormatting>
  <conditionalFormatting sqref="C55:C56">
    <cfRule type="expression" dxfId="42" priority="13">
      <formula>LEN(C55)&gt;0</formula>
    </cfRule>
  </conditionalFormatting>
  <conditionalFormatting sqref="C61:C62">
    <cfRule type="expression" dxfId="41" priority="12">
      <formula>LEN(C61)&gt;0</formula>
    </cfRule>
  </conditionalFormatting>
  <conditionalFormatting sqref="C65:C68">
    <cfRule type="expression" dxfId="40" priority="11">
      <formula>LEN(C65)&gt;0</formula>
    </cfRule>
  </conditionalFormatting>
  <conditionalFormatting sqref="C57:C58">
    <cfRule type="expression" dxfId="39" priority="10">
      <formula>C57&gt;0</formula>
    </cfRule>
  </conditionalFormatting>
  <conditionalFormatting sqref="C59">
    <cfRule type="expression" dxfId="38" priority="9">
      <formula>LEN(C59)&gt;0</formula>
    </cfRule>
  </conditionalFormatting>
  <conditionalFormatting sqref="C76">
    <cfRule type="expression" dxfId="37" priority="1">
      <formula>LEN(C76)&gt;0</formula>
    </cfRule>
  </conditionalFormatting>
  <conditionalFormatting sqref="C71:C72">
    <cfRule type="expression" dxfId="36" priority="6">
      <formula>LEN(C71)&gt;0</formula>
    </cfRule>
  </conditionalFormatting>
  <conditionalFormatting sqref="C77:C78">
    <cfRule type="expression" dxfId="35" priority="5">
      <formula>LEN(C77)&gt;0</formula>
    </cfRule>
  </conditionalFormatting>
  <conditionalFormatting sqref="C81:C84">
    <cfRule type="expression" dxfId="34" priority="4">
      <formula>LEN(C81)&gt;0</formula>
    </cfRule>
  </conditionalFormatting>
  <conditionalFormatting sqref="C73:C74">
    <cfRule type="expression" dxfId="33" priority="3">
      <formula>C73&gt;0</formula>
    </cfRule>
  </conditionalFormatting>
  <conditionalFormatting sqref="C75">
    <cfRule type="expression" dxfId="32" priority="2">
      <formula>LEN(C75)&gt;0</formula>
    </cfRule>
  </conditionalFormatting>
  <dataValidations count="3">
    <dataValidation type="list" allowBlank="1" showInputMessage="1" showErrorMessage="1" sqref="C35:C36 C51:C52 C45:C46 C67:C68 C61:C62 C83:C84 C77:C78 C29:C30" xr:uid="{B3A2C6BC-FBC4-4EC0-A0DB-43713FA5179F}">
      <formula1>"Yes, No"</formula1>
    </dataValidation>
    <dataValidation type="decimal" allowBlank="1" showInputMessage="1" showErrorMessage="1" sqref="C73:C74 C57:C58 C25:C26" xr:uid="{7AF4AE65-28C5-4BA1-AF74-DDD3A021F4A2}">
      <formula1>-99999999</formula1>
      <formula2>99999999</formula2>
    </dataValidation>
    <dataValidation type="decimal" allowBlank="1" showInputMessage="1" showErrorMessage="1" sqref="C41:C42" xr:uid="{D643C1CF-4B63-4F82-9D1E-70B2410D7289}">
      <formula1>-99999999</formula1>
      <formula2>9999999</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date" allowBlank="1" showInputMessage="1" showErrorMessage="1" xr:uid="{876D7F74-A4FD-41B3-A4D0-310BB414AE89}">
          <x14:formula1>
            <xm:f>Validation!$B$3</xm:f>
          </x14:formula1>
          <x14:formula2>
            <xm:f>Validation!$B$4</xm:f>
          </x14:formula2>
          <xm:sqref>C44 C28 C60 C76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33DA2-2A65-42E8-828C-0B7599C2712A}">
  <sheetPr codeName="Sheet6">
    <tabColor theme="9" tint="0.79998168889431442"/>
  </sheetPr>
  <dimension ref="A1:L31"/>
  <sheetViews>
    <sheetView workbookViewId="0">
      <pane ySplit="4" topLeftCell="A5" activePane="bottomLeft" state="frozen"/>
      <selection pane="bottomLeft" sqref="A1:B1048576"/>
    </sheetView>
  </sheetViews>
  <sheetFormatPr defaultRowHeight="15"/>
  <cols>
    <col min="1" max="2" width="17.81640625" customWidth="1"/>
    <col min="3" max="3" width="37.81640625" customWidth="1"/>
    <col min="4" max="4" width="22.1796875" customWidth="1"/>
    <col min="5" max="5" width="10.6328125" customWidth="1"/>
    <col min="6" max="6" width="12.81640625" customWidth="1"/>
    <col min="7" max="7" width="28.6328125" customWidth="1"/>
    <col min="8" max="8" width="11.81640625" customWidth="1"/>
  </cols>
  <sheetData>
    <row r="1" spans="1:12" ht="21.6" thickBot="1">
      <c r="A1" s="17" t="s">
        <v>70</v>
      </c>
      <c r="B1" s="24" t="s">
        <v>71</v>
      </c>
      <c r="C1" s="58"/>
      <c r="D1" s="58"/>
      <c r="E1" s="20" t="s">
        <v>72</v>
      </c>
      <c r="F1" s="1">
        <f>'4.1_Capital'!F1</f>
        <v>0</v>
      </c>
      <c r="H1" s="51">
        <f>IF(F1=0,0,1)</f>
        <v>0</v>
      </c>
      <c r="L1" s="52"/>
    </row>
    <row r="2" spans="1:12" ht="22.8">
      <c r="A2" s="19" t="s">
        <v>73</v>
      </c>
      <c r="B2" s="270" t="str">
        <f>Balances_form!B2</f>
        <v/>
      </c>
      <c r="C2" s="270"/>
      <c r="D2" s="85"/>
      <c r="E2" s="20"/>
      <c r="I2" s="52"/>
    </row>
    <row r="3" spans="1:12" ht="17.399999999999999">
      <c r="A3" s="24"/>
      <c r="B3" s="25"/>
      <c r="C3" s="25"/>
      <c r="D3" s="25"/>
      <c r="E3" s="34"/>
      <c r="F3" s="57"/>
      <c r="G3" s="57"/>
      <c r="H3" s="33"/>
      <c r="I3" s="33"/>
      <c r="J3" s="33"/>
      <c r="L3" s="52"/>
    </row>
    <row r="4" spans="1:12" ht="17.399999999999999">
      <c r="A4" s="339" t="s">
        <v>162</v>
      </c>
      <c r="B4" s="339"/>
      <c r="C4" s="339"/>
      <c r="D4" s="339"/>
      <c r="E4" s="339"/>
      <c r="F4" s="233"/>
      <c r="G4" s="57"/>
      <c r="H4" s="33"/>
      <c r="I4" s="33"/>
      <c r="J4" s="33"/>
      <c r="L4" s="52"/>
    </row>
    <row r="5" spans="1:12" ht="17.399999999999999">
      <c r="A5" s="24"/>
      <c r="B5" s="25"/>
      <c r="C5" s="25"/>
      <c r="D5" s="25"/>
      <c r="E5" s="34"/>
      <c r="F5" s="57"/>
      <c r="G5" s="57"/>
      <c r="H5" s="33"/>
      <c r="I5" s="33"/>
      <c r="J5" s="33"/>
      <c r="L5" s="52"/>
    </row>
    <row r="6" spans="1:12" ht="17.399999999999999">
      <c r="A6" s="48" t="s">
        <v>113</v>
      </c>
      <c r="B6" s="25"/>
      <c r="C6" s="25"/>
      <c r="D6" s="25"/>
      <c r="E6" s="34"/>
      <c r="F6" s="57"/>
      <c r="G6" s="57"/>
      <c r="H6" s="33"/>
      <c r="I6" s="33"/>
      <c r="J6" s="33"/>
      <c r="L6" s="52"/>
    </row>
    <row r="7" spans="1:12" ht="39" customHeight="1">
      <c r="A7" s="257" t="s">
        <v>163</v>
      </c>
      <c r="B7" s="336"/>
      <c r="C7" s="336"/>
      <c r="D7" s="336"/>
      <c r="E7" s="336"/>
      <c r="F7" s="336"/>
      <c r="G7" s="57"/>
      <c r="H7" s="33"/>
      <c r="I7" s="33"/>
      <c r="J7" s="33"/>
      <c r="L7" s="52"/>
    </row>
    <row r="8" spans="1:12" ht="39" customHeight="1">
      <c r="A8" s="336"/>
      <c r="B8" s="336"/>
      <c r="C8" s="336"/>
      <c r="D8" s="336"/>
      <c r="E8" s="336"/>
      <c r="F8" s="336"/>
      <c r="G8" s="57"/>
      <c r="H8" s="33"/>
      <c r="I8" s="33"/>
      <c r="J8" s="33"/>
      <c r="L8" s="52"/>
    </row>
    <row r="9" spans="1:12" ht="39" customHeight="1">
      <c r="A9" s="336"/>
      <c r="B9" s="336"/>
      <c r="C9" s="336"/>
      <c r="D9" s="336"/>
      <c r="E9" s="336"/>
      <c r="F9" s="336"/>
      <c r="G9" s="57"/>
      <c r="H9" s="33"/>
      <c r="I9" s="33"/>
      <c r="J9" s="33"/>
      <c r="L9" s="52"/>
    </row>
    <row r="10" spans="1:12" ht="17.399999999999999">
      <c r="A10" s="154"/>
      <c r="B10" s="154"/>
      <c r="C10" s="154"/>
      <c r="D10" s="154"/>
      <c r="E10" s="154"/>
      <c r="F10" s="154"/>
      <c r="G10" s="57"/>
      <c r="H10" s="33"/>
      <c r="I10" s="33"/>
      <c r="J10" s="33"/>
      <c r="L10" s="52"/>
    </row>
    <row r="11" spans="1:12" ht="17.399999999999999">
      <c r="A11" s="24" t="s">
        <v>164</v>
      </c>
      <c r="B11" s="25"/>
      <c r="C11" s="25"/>
      <c r="D11" s="25"/>
      <c r="E11" s="34"/>
      <c r="F11" s="57"/>
      <c r="G11" s="57"/>
      <c r="H11" s="33"/>
      <c r="I11" s="33"/>
      <c r="J11" s="33"/>
      <c r="L11" s="52"/>
    </row>
    <row r="12" spans="1:12" s="110" customFormat="1" ht="46.8">
      <c r="A12" s="245"/>
      <c r="B12" s="246" t="s">
        <v>165</v>
      </c>
      <c r="C12" s="247" t="s">
        <v>166</v>
      </c>
      <c r="D12" s="248" t="s">
        <v>77</v>
      </c>
      <c r="E12" s="248" t="s">
        <v>167</v>
      </c>
      <c r="F12" s="248" t="s">
        <v>120</v>
      </c>
      <c r="G12" s="109"/>
      <c r="H12" s="109"/>
    </row>
    <row r="13" spans="1:12" ht="17.399999999999999" customHeight="1">
      <c r="A13" s="249">
        <v>1</v>
      </c>
      <c r="B13" s="155"/>
      <c r="C13" s="155"/>
      <c r="D13" s="157"/>
      <c r="E13" s="250" t="str">
        <f>IF(D13="","",D13/$D$17)</f>
        <v/>
      </c>
      <c r="F13" s="155"/>
      <c r="G13" s="335" t="str">
        <f>IF(Balances_form!$E$17=SUM(D13:D16),"","The total in this section must equal the total of Funding held on behalf of other schools on the '4.0_BCM_All' worksheet ("&amp;TEXT(ROUND(Balances_form!$E$17,2),"£#,###.00")&amp;")")</f>
        <v/>
      </c>
      <c r="H13" s="111"/>
      <c r="I13" s="111"/>
      <c r="J13" s="111"/>
      <c r="K13" s="31"/>
      <c r="L13" s="31"/>
    </row>
    <row r="14" spans="1:12" ht="15" customHeight="1">
      <c r="A14" s="249">
        <v>2</v>
      </c>
      <c r="B14" s="155"/>
      <c r="C14" s="155"/>
      <c r="D14" s="157"/>
      <c r="E14" s="250" t="str">
        <f t="shared" ref="E14:E16" si="0">IF(D14="","",D14/$D$17)</f>
        <v/>
      </c>
      <c r="F14" s="155"/>
      <c r="G14" s="335"/>
      <c r="H14" s="111"/>
      <c r="I14" s="111"/>
      <c r="J14" s="111"/>
      <c r="K14" s="31"/>
      <c r="L14" s="31"/>
    </row>
    <row r="15" spans="1:12" ht="15" customHeight="1">
      <c r="A15" s="249">
        <v>3</v>
      </c>
      <c r="B15" s="155"/>
      <c r="C15" s="155"/>
      <c r="D15" s="157"/>
      <c r="E15" s="250" t="str">
        <f t="shared" si="0"/>
        <v/>
      </c>
      <c r="F15" s="155"/>
      <c r="G15" s="335"/>
      <c r="H15" s="111"/>
      <c r="I15" s="111"/>
      <c r="J15" s="111"/>
      <c r="K15" s="31"/>
      <c r="L15" s="31"/>
    </row>
    <row r="16" spans="1:12" ht="15" customHeight="1">
      <c r="A16" s="249">
        <v>4</v>
      </c>
      <c r="B16" s="155"/>
      <c r="C16" s="155"/>
      <c r="D16" s="157"/>
      <c r="E16" s="250" t="str">
        <f t="shared" si="0"/>
        <v/>
      </c>
      <c r="F16" s="155"/>
      <c r="G16" s="335"/>
      <c r="H16" s="111"/>
      <c r="I16" s="111"/>
      <c r="J16" s="111"/>
      <c r="K16" s="31"/>
      <c r="L16" s="31"/>
    </row>
    <row r="17" spans="1:12" s="87" customFormat="1" ht="15.6">
      <c r="A17" s="251" t="s">
        <v>121</v>
      </c>
      <c r="B17" s="123"/>
      <c r="C17" s="252"/>
      <c r="D17" s="253">
        <f>SUM(D13:D16)</f>
        <v>0</v>
      </c>
      <c r="E17" s="253">
        <f>SUM(E13:E16)</f>
        <v>0</v>
      </c>
      <c r="F17" s="124"/>
      <c r="G17" s="335"/>
      <c r="H17" s="111"/>
      <c r="I17" s="111"/>
      <c r="J17" s="111"/>
      <c r="K17" s="48"/>
      <c r="L17" s="48"/>
    </row>
    <row r="19" spans="1:12" ht="15.6" customHeight="1">
      <c r="A19" s="336" t="s">
        <v>168</v>
      </c>
      <c r="B19" s="336"/>
      <c r="C19" s="336"/>
      <c r="D19" s="336"/>
      <c r="E19" s="336"/>
      <c r="F19" s="336"/>
    </row>
    <row r="20" spans="1:12">
      <c r="A20" s="337"/>
      <c r="B20" s="337"/>
      <c r="C20" s="337"/>
      <c r="D20" s="337"/>
      <c r="E20" s="337"/>
      <c r="F20" s="337"/>
    </row>
    <row r="21" spans="1:12">
      <c r="A21" s="337"/>
      <c r="B21" s="337"/>
      <c r="C21" s="337"/>
      <c r="D21" s="337"/>
      <c r="E21" s="337"/>
      <c r="F21" s="337"/>
    </row>
    <row r="22" spans="1:12">
      <c r="A22" s="337"/>
      <c r="B22" s="337"/>
      <c r="C22" s="337"/>
      <c r="D22" s="337"/>
      <c r="E22" s="337"/>
      <c r="F22" s="337"/>
    </row>
    <row r="23" spans="1:12">
      <c r="A23" s="337"/>
      <c r="B23" s="337"/>
      <c r="C23" s="337"/>
      <c r="D23" s="337"/>
      <c r="E23" s="337"/>
      <c r="F23" s="337"/>
    </row>
    <row r="24" spans="1:12">
      <c r="A24" s="337"/>
      <c r="B24" s="337"/>
      <c r="C24" s="337"/>
      <c r="D24" s="337"/>
      <c r="E24" s="337"/>
      <c r="F24" s="337"/>
    </row>
    <row r="26" spans="1:12" ht="15.6">
      <c r="A26" s="114" t="s">
        <v>169</v>
      </c>
    </row>
    <row r="27" spans="1:12">
      <c r="A27" s="338"/>
      <c r="B27" s="338"/>
      <c r="C27" s="338"/>
      <c r="D27" s="338"/>
      <c r="E27" s="338"/>
      <c r="F27" s="338"/>
    </row>
    <row r="28" spans="1:12">
      <c r="A28" s="338"/>
      <c r="B28" s="338"/>
      <c r="C28" s="338"/>
      <c r="D28" s="338"/>
      <c r="E28" s="338"/>
      <c r="F28" s="338"/>
    </row>
    <row r="29" spans="1:12">
      <c r="A29" s="338"/>
      <c r="B29" s="338"/>
      <c r="C29" s="338"/>
      <c r="D29" s="338"/>
      <c r="E29" s="338"/>
      <c r="F29" s="338"/>
    </row>
    <row r="30" spans="1:12">
      <c r="A30" s="338"/>
      <c r="B30" s="338"/>
      <c r="C30" s="338"/>
      <c r="D30" s="338"/>
      <c r="E30" s="338"/>
      <c r="F30" s="338"/>
    </row>
    <row r="31" spans="1:12">
      <c r="A31" s="338"/>
      <c r="B31" s="338"/>
      <c r="C31" s="338"/>
      <c r="D31" s="338"/>
      <c r="E31" s="338"/>
      <c r="F31" s="338"/>
    </row>
  </sheetData>
  <sheetProtection algorithmName="SHA-512" hashValue="TBV1PIBtxFvWn9F26SrGV09iIpti1+mvTKyMtGY0eS2zGOyGfODzFaAZTOlb/mqIUcyWZL3NV+NcvVBM3x0trQ==" saltValue="3wx68Ta7d43TdKaUnLjMiA==" spinCount="100000" sheet="1" objects="1" scenarios="1"/>
  <mergeCells count="7">
    <mergeCell ref="G13:G17"/>
    <mergeCell ref="A19:F19"/>
    <mergeCell ref="A20:F24"/>
    <mergeCell ref="A27:F31"/>
    <mergeCell ref="B2:C2"/>
    <mergeCell ref="A4:E4"/>
    <mergeCell ref="A7:F9"/>
  </mergeCells>
  <conditionalFormatting sqref="A5 A4:E4">
    <cfRule type="expression" dxfId="31" priority="6">
      <formula>#REF!="Section 2.1 - This section is not applicable as you are not over your BCM allowable."</formula>
    </cfRule>
  </conditionalFormatting>
  <conditionalFormatting sqref="A11">
    <cfRule type="expression" dxfId="30" priority="5">
      <formula>#REF!="Section 2.1 - This section is not applicable as you are not over your BCM allowable."</formula>
    </cfRule>
  </conditionalFormatting>
  <conditionalFormatting sqref="F3:F6 H3:H11 F11">
    <cfRule type="notContainsText" dxfId="29" priority="8" stopIfTrue="1" operator="notContains" text="CORRECT">
      <formula>ISERROR(SEARCH("CORRECT",F3))</formula>
    </cfRule>
  </conditionalFormatting>
  <conditionalFormatting sqref="G13">
    <cfRule type="notContainsText" dxfId="28" priority="15" stopIfTrue="1" operator="notContains" text="CORRECT">
      <formula>ISERROR(SEARCH("CORRECT",G13))</formula>
    </cfRule>
  </conditionalFormatting>
  <conditionalFormatting sqref="H3:J11">
    <cfRule type="containsText" dxfId="27" priority="12" stopIfTrue="1" operator="containsText" text="allocated">
      <formula>NOT(ISERROR(SEARCH("allocated",H3)))</formula>
    </cfRule>
    <cfRule type="containsText" dxfId="26" priority="13" stopIfTrue="1" operator="containsText" text="to allocate">
      <formula>NOT(ISERROR(SEARCH("to allocate",H3)))</formula>
    </cfRule>
  </conditionalFormatting>
  <conditionalFormatting sqref="E3 E5:E6 E11">
    <cfRule type="expression" priority="57" stopIfTrue="1">
      <formula>$F$1=""</formula>
    </cfRule>
    <cfRule type="containsText" dxfId="25" priority="58" stopIfTrue="1" operator="containsText" text="The current">
      <formula>NOT(ISERROR(SEARCH("The current",E3)))</formula>
    </cfRule>
  </conditionalFormatting>
  <conditionalFormatting sqref="A20:F24">
    <cfRule type="expression" dxfId="24" priority="3">
      <formula>LEN($A$20)&gt;0</formula>
    </cfRule>
  </conditionalFormatting>
  <conditionalFormatting sqref="A27:F31">
    <cfRule type="expression" dxfId="23" priority="2">
      <formula>LEN($A$27)&gt;0</formula>
    </cfRule>
  </conditionalFormatting>
  <dataValidations count="1">
    <dataValidation type="decimal" allowBlank="1" showInputMessage="1" showErrorMessage="1" sqref="D13:D16" xr:uid="{E6F576D8-260B-457F-A8DE-239B5089478F}">
      <formula1>-99999999</formula1>
      <formula2>99999999</formula2>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4" id="{FBD5206D-AAD6-4977-B27F-106A9979D417}">
            <xm:f>'4.1_Capital'!#REF!="Section 2.1 - This section is not applicable as you are not over your BCM allowable."</xm:f>
            <x14:dxf>
              <font>
                <color theme="0"/>
              </font>
              <fill>
                <patternFill>
                  <bgColor theme="0"/>
                </patternFill>
              </fill>
              <border>
                <left style="thin">
                  <color theme="0"/>
                </left>
                <right style="thin">
                  <color theme="0"/>
                </right>
                <top style="thin">
                  <color theme="0"/>
                </top>
                <bottom style="thin">
                  <color theme="0"/>
                </bottom>
                <vertical/>
                <horizontal/>
              </border>
            </x14:dxf>
          </x14:cfRule>
          <xm:sqref>A26</xm:sqref>
        </x14:conditionalFormatting>
      </x14:conditionalFormattings>
    </ext>
    <ext xmlns:x14="http://schemas.microsoft.com/office/spreadsheetml/2009/9/main" uri="{CCE6A557-97BC-4b89-ADB6-D9C93CAAB3DF}">
      <x14:dataValidations xmlns:xm="http://schemas.microsoft.com/office/excel/2006/main" count="1">
        <x14:dataValidation type="date" allowBlank="1" showInputMessage="1" showErrorMessage="1" xr:uid="{D8E51A46-8C6E-413A-B73F-03B448926D6C}">
          <x14:formula1>
            <xm:f>Validation!$B$3</xm:f>
          </x14:formula1>
          <x14:formula2>
            <xm:f>Validation!$B$4</xm:f>
          </x14:formula2>
          <xm:sqref>F13:F16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91CEB-DBBE-4732-88DA-632222B20E4A}">
  <sheetPr codeName="Sheet7">
    <tabColor theme="5" tint="0.79998168889431442"/>
  </sheetPr>
  <dimension ref="A1:Q19"/>
  <sheetViews>
    <sheetView workbookViewId="0">
      <pane ySplit="4" topLeftCell="A14" activePane="bottomLeft" state="frozen"/>
      <selection pane="bottomLeft" sqref="A1:B1048576"/>
    </sheetView>
  </sheetViews>
  <sheetFormatPr defaultRowHeight="15"/>
  <cols>
    <col min="1" max="2" width="17.36328125" customWidth="1"/>
    <col min="3" max="3" width="29.453125" customWidth="1"/>
    <col min="4" max="4" width="24" customWidth="1"/>
    <col min="5" max="5" width="25" customWidth="1"/>
    <col min="6" max="6" width="21.453125" customWidth="1"/>
    <col min="7" max="7" width="11.1796875" customWidth="1"/>
    <col min="8" max="8" width="15.1796875" customWidth="1"/>
  </cols>
  <sheetData>
    <row r="1" spans="1:17" ht="21.6" thickBot="1">
      <c r="A1" s="126" t="s">
        <v>70</v>
      </c>
      <c r="B1" s="327" t="s">
        <v>71</v>
      </c>
      <c r="C1" s="327"/>
      <c r="D1" s="56" t="s">
        <v>72</v>
      </c>
      <c r="E1" s="1">
        <f>Balances_form!E1</f>
        <v>0</v>
      </c>
      <c r="F1" s="51" t="e">
        <f>VLOOKUP(E1,Lookup!A:D,4,0)</f>
        <v>#N/A</v>
      </c>
      <c r="H1" s="51">
        <f>IF(E1=0,0,1)</f>
        <v>0</v>
      </c>
      <c r="L1" s="52"/>
      <c r="M1" s="64"/>
      <c r="P1" s="64"/>
      <c r="Q1" s="64"/>
    </row>
    <row r="2" spans="1:17" ht="22.8">
      <c r="A2" s="19" t="s">
        <v>73</v>
      </c>
      <c r="B2" s="270" t="str">
        <f>Balances_form!B2</f>
        <v/>
      </c>
      <c r="C2" s="270"/>
      <c r="D2" s="270"/>
      <c r="E2" s="20"/>
      <c r="I2" s="52"/>
      <c r="J2" s="64"/>
    </row>
    <row r="3" spans="1:17" ht="22.8">
      <c r="A3" s="19"/>
      <c r="B3" s="85"/>
      <c r="C3" s="85"/>
      <c r="D3" s="85"/>
      <c r="E3" s="20"/>
      <c r="F3" s="18"/>
      <c r="G3" s="18"/>
      <c r="H3" s="18"/>
      <c r="L3" s="52"/>
      <c r="M3" s="64"/>
    </row>
    <row r="4" spans="1:17" ht="21">
      <c r="A4" s="343" t="s">
        <v>170</v>
      </c>
      <c r="B4" s="343"/>
      <c r="C4" s="343"/>
      <c r="D4" s="343"/>
      <c r="E4" s="343"/>
      <c r="F4" s="41"/>
      <c r="G4" s="18"/>
      <c r="H4" s="18"/>
      <c r="L4" s="52"/>
      <c r="M4" s="64"/>
    </row>
    <row r="5" spans="1:17" ht="21">
      <c r="A5" s="24"/>
      <c r="B5" s="24"/>
      <c r="C5" s="24"/>
      <c r="D5" s="24"/>
      <c r="E5" s="24"/>
      <c r="F5" s="41"/>
      <c r="G5" s="18"/>
      <c r="H5" s="18"/>
      <c r="L5" s="52"/>
      <c r="M5" s="64"/>
    </row>
    <row r="6" spans="1:17" ht="21">
      <c r="A6" s="48" t="s">
        <v>113</v>
      </c>
      <c r="B6" s="41"/>
      <c r="C6" s="41"/>
      <c r="D6" s="41"/>
      <c r="E6" s="24"/>
      <c r="F6" s="41"/>
      <c r="G6" s="18"/>
      <c r="H6" s="18"/>
      <c r="L6" s="52"/>
      <c r="M6" s="64"/>
    </row>
    <row r="7" spans="1:17" ht="21">
      <c r="A7" s="257" t="s">
        <v>171</v>
      </c>
      <c r="B7" s="336"/>
      <c r="C7" s="336"/>
      <c r="D7" s="336"/>
      <c r="E7" s="336"/>
      <c r="F7" s="336"/>
      <c r="G7" s="18"/>
      <c r="H7" s="18"/>
      <c r="L7" s="52"/>
      <c r="M7" s="64"/>
    </row>
    <row r="8" spans="1:17" ht="21">
      <c r="A8" s="336"/>
      <c r="B8" s="336"/>
      <c r="C8" s="336"/>
      <c r="D8" s="336"/>
      <c r="E8" s="336"/>
      <c r="F8" s="336"/>
      <c r="G8" s="18"/>
      <c r="H8" s="18"/>
      <c r="L8" s="52"/>
      <c r="M8" s="64"/>
    </row>
    <row r="9" spans="1:17" ht="21">
      <c r="A9" s="336"/>
      <c r="B9" s="336"/>
      <c r="C9" s="336"/>
      <c r="D9" s="336"/>
      <c r="E9" s="336"/>
      <c r="F9" s="336"/>
      <c r="G9" s="18"/>
      <c r="H9" s="18"/>
      <c r="L9" s="52"/>
      <c r="M9" s="64"/>
    </row>
    <row r="10" spans="1:17" ht="21">
      <c r="A10" s="257"/>
      <c r="B10" s="257"/>
      <c r="C10" s="257"/>
      <c r="D10" s="257"/>
      <c r="E10" s="257"/>
      <c r="F10" s="257"/>
      <c r="G10" s="18"/>
      <c r="H10" s="18"/>
      <c r="L10" s="52"/>
      <c r="M10" s="64"/>
    </row>
    <row r="11" spans="1:17" ht="17.399999999999999">
      <c r="A11" s="24"/>
      <c r="B11" s="24"/>
      <c r="C11" s="24"/>
      <c r="D11" s="24"/>
      <c r="E11" s="24"/>
      <c r="F11" s="41"/>
      <c r="L11" s="52"/>
      <c r="M11" s="64"/>
    </row>
    <row r="12" spans="1:17" ht="17.399999999999999">
      <c r="A12" s="24" t="s">
        <v>172</v>
      </c>
      <c r="B12" s="24"/>
      <c r="C12" s="24"/>
      <c r="D12" s="24"/>
      <c r="E12" s="24"/>
      <c r="F12" s="41"/>
      <c r="L12" s="52"/>
      <c r="M12" s="64"/>
    </row>
    <row r="13" spans="1:17" s="119" customFormat="1" ht="62.4">
      <c r="A13" s="116"/>
      <c r="B13" s="115" t="s">
        <v>173</v>
      </c>
      <c r="C13" s="116" t="s">
        <v>174</v>
      </c>
      <c r="D13" s="115" t="s">
        <v>175</v>
      </c>
      <c r="E13" s="115" t="s">
        <v>176</v>
      </c>
      <c r="F13" s="116" t="s">
        <v>177</v>
      </c>
      <c r="G13" s="117" t="s">
        <v>77</v>
      </c>
      <c r="H13" s="118"/>
      <c r="I13" s="118"/>
    </row>
    <row r="14" spans="1:17" ht="33" customHeight="1">
      <c r="A14" s="113">
        <v>1</v>
      </c>
      <c r="B14" s="156"/>
      <c r="C14" s="156"/>
      <c r="D14" s="156"/>
      <c r="E14" s="156"/>
      <c r="F14" s="156"/>
      <c r="G14" s="188"/>
      <c r="H14" s="340" t="str">
        <f>IF(Balances_form!$E$18=SUM(G14:G17),"","The total in this section must equal the total of '4.0_BCM_All Late Allocations' ("&amp;TEXT(ROUND(Balances_form!$E$18,2),"£#,###.00")&amp;")")</f>
        <v/>
      </c>
      <c r="I14" s="55"/>
    </row>
    <row r="15" spans="1:17" ht="33" customHeight="1">
      <c r="A15" s="113">
        <v>2</v>
      </c>
      <c r="B15" s="156"/>
      <c r="C15" s="156"/>
      <c r="D15" s="156"/>
      <c r="E15" s="156"/>
      <c r="F15" s="156"/>
      <c r="G15" s="188"/>
      <c r="H15" s="340"/>
      <c r="I15" s="55"/>
    </row>
    <row r="16" spans="1:17" ht="33" customHeight="1">
      <c r="A16" s="113">
        <v>3</v>
      </c>
      <c r="B16" s="156"/>
      <c r="C16" s="156"/>
      <c r="D16" s="156"/>
      <c r="E16" s="156"/>
      <c r="F16" s="156"/>
      <c r="G16" s="188"/>
      <c r="H16" s="340"/>
      <c r="I16" s="55"/>
    </row>
    <row r="17" spans="1:9" ht="33" customHeight="1">
      <c r="A17" s="113">
        <v>4</v>
      </c>
      <c r="B17" s="156"/>
      <c r="C17" s="156"/>
      <c r="D17" s="156"/>
      <c r="E17" s="156"/>
      <c r="F17" s="156"/>
      <c r="G17" s="188"/>
      <c r="H17" s="340"/>
      <c r="I17" s="55"/>
    </row>
    <row r="18" spans="1:9" s="87" customFormat="1" ht="17.399999999999999">
      <c r="A18" s="112" t="s">
        <v>121</v>
      </c>
      <c r="B18" s="120"/>
      <c r="C18" s="120"/>
      <c r="D18" s="121"/>
      <c r="E18" s="122"/>
      <c r="F18" s="120"/>
      <c r="G18" s="205">
        <f>SUM(G14:G17)</f>
        <v>0</v>
      </c>
      <c r="H18" s="340"/>
      <c r="I18" s="55"/>
    </row>
    <row r="19" spans="1:9">
      <c r="A19" s="341"/>
      <c r="B19" s="342"/>
    </row>
  </sheetData>
  <sheetProtection algorithmName="SHA-512" hashValue="EKbuU+7GHEBKh3qFNwJCcxtwYtlwHJnqpItJuPx/ooZ0hcZKGo99TIbI6NQEAnmdT4c7CdCHw1S+RUKrSgz7sQ==" saltValue="MmV/4zUEzU1R8zb+jogqCg==" spinCount="100000" sheet="1" objects="1" scenarios="1"/>
  <mergeCells count="7">
    <mergeCell ref="B1:C1"/>
    <mergeCell ref="H14:H18"/>
    <mergeCell ref="A7:F9"/>
    <mergeCell ref="A19:B19"/>
    <mergeCell ref="B2:D2"/>
    <mergeCell ref="A4:E4"/>
    <mergeCell ref="A10:F10"/>
  </mergeCells>
  <conditionalFormatting sqref="A4:E5 E6 A11:E12">
    <cfRule type="expression" dxfId="21" priority="9">
      <formula>#REF!="Section 2.1 - This section is not applicable as you are not over your BCM allowable."</formula>
    </cfRule>
  </conditionalFormatting>
  <conditionalFormatting sqref="F3">
    <cfRule type="containsText" dxfId="20" priority="18" stopIfTrue="1" operator="containsText" text="Links">
      <formula>NOT(ISERROR(SEARCH("Links",F3)))</formula>
    </cfRule>
  </conditionalFormatting>
  <conditionalFormatting sqref="H14">
    <cfRule type="notContainsText" dxfId="19" priority="16" stopIfTrue="1" operator="notContains" text="CORRECT">
      <formula>ISERROR(SEARCH("CORRECT",H14))</formula>
    </cfRule>
  </conditionalFormatting>
  <conditionalFormatting sqref="B14:B17">
    <cfRule type="expression" dxfId="18" priority="3">
      <formula>LEN(B14)&gt;0</formula>
    </cfRule>
  </conditionalFormatting>
  <conditionalFormatting sqref="C14:F17">
    <cfRule type="expression" dxfId="17" priority="2">
      <formula>LEN(C14)&gt;0</formula>
    </cfRule>
  </conditionalFormatting>
  <conditionalFormatting sqref="G14:G17">
    <cfRule type="expression" dxfId="16" priority="1">
      <formula>LEN(G14)&gt;0</formula>
    </cfRule>
  </conditionalFormatting>
  <dataValidations count="1">
    <dataValidation type="decimal" allowBlank="1" showInputMessage="1" showErrorMessage="1" sqref="G14:G17" xr:uid="{DD4D4E10-EBA4-49D8-9A1C-ACA3E35CD466}">
      <formula1>-99999999</formula1>
      <formula2>99999999</formula2>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7" id="{0ED3AFE9-FD4E-40AE-8221-C3E2855A733B}">
            <xm:f>'4.1_Capital'!#REF!="Section 2.1 - This section is not applicable as you are not over your BCM allowable."</xm:f>
            <x14:dxf>
              <font>
                <color theme="0"/>
              </font>
              <fill>
                <patternFill>
                  <bgColor theme="0"/>
                </patternFill>
              </fill>
              <border>
                <left style="thin">
                  <color theme="0"/>
                </left>
                <right style="thin">
                  <color theme="0"/>
                </right>
                <top style="thin">
                  <color theme="0"/>
                </top>
                <bottom style="thin">
                  <color theme="0"/>
                </bottom>
                <vertical/>
                <horizontal/>
              </border>
            </x14:dxf>
          </x14:cfRule>
          <xm:sqref>D18</xm:sqref>
        </x14:conditionalFormatting>
      </x14:conditionalFormattings>
    </ext>
    <ext xmlns:x14="http://schemas.microsoft.com/office/spreadsheetml/2009/9/main" uri="{CCE6A557-97BC-4b89-ADB6-D9C93CAAB3DF}">
      <x14:dataValidations xmlns:xm="http://schemas.microsoft.com/office/excel/2006/main" count="2">
        <x14:dataValidation type="date" allowBlank="1" showInputMessage="1" showErrorMessage="1" xr:uid="{70F2E63C-623F-4D37-A7F9-172254A17D24}">
          <x14:formula1>
            <xm:f>Validation!$B$3</xm:f>
          </x14:formula1>
          <x14:formula2>
            <xm:f>Validation!$B$4</xm:f>
          </x14:formula2>
          <xm:sqref>F14:F17</xm:sqref>
        </x14:dataValidation>
        <x14:dataValidation type="date" allowBlank="1" showInputMessage="1" showErrorMessage="1" xr:uid="{FD63DCE5-0A52-40AD-8986-D1272B77C313}">
          <x14:formula1>
            <xm:f>Validation!$C$3</xm:f>
          </x14:formula1>
          <x14:formula2>
            <xm:f>Validation!$C$4</xm:f>
          </x14:formula2>
          <xm:sqref>D14:D17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CCB43-2DB3-45A2-B78C-5E4EC3760567}">
  <sheetPr codeName="Sheet10">
    <tabColor theme="2" tint="-9.9978637043366805E-2"/>
  </sheetPr>
  <dimension ref="A1:M50"/>
  <sheetViews>
    <sheetView workbookViewId="0">
      <selection activeCell="E13" sqref="E13:E18"/>
    </sheetView>
  </sheetViews>
  <sheetFormatPr defaultColWidth="8.81640625" defaultRowHeight="15"/>
  <cols>
    <col min="1" max="1" width="17.453125" style="41" customWidth="1"/>
    <col min="2" max="2" width="53.54296875" style="41" customWidth="1"/>
    <col min="3" max="3" width="32" style="41" customWidth="1"/>
    <col min="4" max="4" width="17.6328125" style="41" customWidth="1"/>
    <col min="5" max="5" width="19.6328125" style="41" customWidth="1"/>
    <col min="6" max="6" width="22.453125" style="41" customWidth="1"/>
    <col min="7" max="7" width="23.453125" style="41" customWidth="1"/>
    <col min="8" max="16384" width="8.81640625" style="41"/>
  </cols>
  <sheetData>
    <row r="1" spans="1:13" ht="21.6" thickBot="1">
      <c r="A1" s="126" t="s">
        <v>70</v>
      </c>
      <c r="B1" s="327" t="s">
        <v>71</v>
      </c>
      <c r="C1" s="327"/>
      <c r="D1" s="327"/>
      <c r="E1" s="20" t="s">
        <v>72</v>
      </c>
      <c r="F1" s="1">
        <f>Balances_form!E1</f>
        <v>0</v>
      </c>
      <c r="G1" s="51" t="e">
        <f>VLOOKUP(F1,Lookup!A:D,4,0)</f>
        <v>#N/A</v>
      </c>
      <c r="I1" s="51">
        <f>IF(F1=0,0,1)</f>
        <v>0</v>
      </c>
      <c r="M1" s="52"/>
    </row>
    <row r="2" spans="1:13" ht="22.8">
      <c r="A2" s="19" t="s">
        <v>73</v>
      </c>
      <c r="B2" s="270" t="str">
        <f>Balances_form!B2</f>
        <v/>
      </c>
      <c r="C2" s="270"/>
      <c r="D2" s="270"/>
      <c r="E2" s="90"/>
      <c r="F2" s="20"/>
      <c r="J2" s="52"/>
    </row>
    <row r="3" spans="1:13" ht="22.8">
      <c r="B3" s="19"/>
      <c r="C3" s="85"/>
      <c r="D3" s="85"/>
      <c r="E3" s="85"/>
      <c r="F3" s="20"/>
      <c r="G3" s="18"/>
      <c r="H3" s="18"/>
      <c r="I3" s="18"/>
      <c r="M3" s="52"/>
    </row>
    <row r="4" spans="1:13" ht="17.399999999999999">
      <c r="A4" s="353" t="s">
        <v>178</v>
      </c>
      <c r="B4" s="353"/>
      <c r="C4" s="353"/>
      <c r="D4" s="353"/>
      <c r="E4" s="353"/>
      <c r="F4" s="165"/>
    </row>
    <row r="5" spans="1:13" ht="17.399999999999999">
      <c r="A5" s="24"/>
      <c r="B5" s="24"/>
      <c r="C5" s="24"/>
      <c r="D5" s="24"/>
      <c r="E5" s="24"/>
    </row>
    <row r="6" spans="1:13" ht="17.399999999999999">
      <c r="A6" s="48" t="s">
        <v>113</v>
      </c>
      <c r="E6" s="24"/>
    </row>
    <row r="7" spans="1:13" ht="31.2" customHeight="1">
      <c r="A7" s="257" t="s">
        <v>179</v>
      </c>
      <c r="B7" s="257"/>
      <c r="C7" s="257"/>
      <c r="D7" s="257"/>
      <c r="E7" s="257"/>
      <c r="F7" s="257"/>
    </row>
    <row r="8" spans="1:13" ht="17.399999999999999" customHeight="1">
      <c r="A8" s="257"/>
      <c r="B8" s="257"/>
      <c r="C8" s="257"/>
      <c r="D8" s="257"/>
      <c r="E8" s="257"/>
      <c r="F8" s="257"/>
    </row>
    <row r="9" spans="1:13" s="88" customFormat="1" ht="31.95" customHeight="1">
      <c r="A9" s="257"/>
      <c r="B9" s="257"/>
      <c r="C9" s="257"/>
      <c r="D9" s="257"/>
      <c r="E9" s="257"/>
      <c r="F9" s="257"/>
    </row>
    <row r="10" spans="1:13" ht="39" customHeight="1">
      <c r="A10" s="257"/>
      <c r="B10" s="257"/>
      <c r="C10" s="257"/>
      <c r="D10" s="257"/>
      <c r="E10" s="257"/>
      <c r="F10" s="257"/>
    </row>
    <row r="11" spans="1:13" ht="17.399999999999999">
      <c r="A11" s="24"/>
      <c r="B11" s="24"/>
      <c r="C11" s="24"/>
      <c r="D11" s="24"/>
      <c r="E11" s="24"/>
    </row>
    <row r="12" spans="1:13" ht="17.399999999999999">
      <c r="A12" s="24" t="s">
        <v>180</v>
      </c>
      <c r="B12" s="24"/>
      <c r="C12" s="24"/>
      <c r="D12" s="24"/>
      <c r="E12" s="24"/>
    </row>
    <row r="13" spans="1:13" ht="32.4" customHeight="1">
      <c r="A13" s="162"/>
      <c r="B13" s="197" t="s">
        <v>181</v>
      </c>
      <c r="C13" s="198" t="s">
        <v>77</v>
      </c>
      <c r="D13" s="198" t="s">
        <v>120</v>
      </c>
      <c r="E13" s="354" t="str">
        <f>IF(Balances_form!$E$19=SUM(C14:D17),"","The total in this section must equal the total of '4.0_BCM_All Other grant income' ("&amp;TEXT(ROUND(Balances_form!$E$19,2),"£#,###.00")&amp;")")</f>
        <v/>
      </c>
    </row>
    <row r="14" spans="1:13" ht="17.399999999999999" customHeight="1">
      <c r="A14" s="163">
        <v>1</v>
      </c>
      <c r="B14" s="199" t="str">
        <f>IF($C$23="","",$C$23)</f>
        <v/>
      </c>
      <c r="C14" s="200" t="str">
        <f>IF($C$26="","",$C$26)</f>
        <v/>
      </c>
      <c r="D14" s="201" t="str">
        <f>IF($C$27="","",$C$27)</f>
        <v/>
      </c>
      <c r="E14" s="354"/>
      <c r="F14" s="108"/>
      <c r="G14" s="47"/>
      <c r="H14" s="47"/>
      <c r="I14" s="47"/>
      <c r="J14" s="47"/>
    </row>
    <row r="15" spans="1:13" ht="17.399999999999999">
      <c r="A15" s="163">
        <v>2</v>
      </c>
      <c r="B15" s="199" t="str">
        <f>IF($C$31="","",$C$31)</f>
        <v/>
      </c>
      <c r="C15" s="200" t="str">
        <f>IF($C$33="","",$C$33)</f>
        <v/>
      </c>
      <c r="D15" s="201" t="str">
        <f>IF($C$34="","",$C$34)</f>
        <v/>
      </c>
      <c r="E15" s="354"/>
      <c r="F15" s="108"/>
      <c r="G15" s="47"/>
      <c r="H15" s="47"/>
      <c r="I15" s="47"/>
      <c r="J15" s="47"/>
    </row>
    <row r="16" spans="1:13" ht="17.399999999999999">
      <c r="A16" s="163">
        <v>3</v>
      </c>
      <c r="B16" s="199" t="str">
        <f>IF($C$39="","",$C$39)</f>
        <v/>
      </c>
      <c r="C16" s="200" t="str">
        <f>IF($C$42="","",$C$42)</f>
        <v/>
      </c>
      <c r="D16" s="201" t="str">
        <f>IF($C$42="","",$C$42)</f>
        <v/>
      </c>
      <c r="E16" s="354"/>
      <c r="F16" s="108"/>
      <c r="G16" s="47"/>
      <c r="H16" s="47"/>
      <c r="I16" s="47"/>
      <c r="J16" s="47"/>
    </row>
    <row r="17" spans="1:10" ht="17.399999999999999">
      <c r="A17" s="163">
        <v>4</v>
      </c>
      <c r="B17" s="199" t="str">
        <f>IF($C$46="","",$C$46)</f>
        <v/>
      </c>
      <c r="C17" s="200" t="str">
        <f>IF($C$48="","",$C$48)</f>
        <v/>
      </c>
      <c r="D17" s="201" t="str">
        <f>IF($C$49="","",$C$49)</f>
        <v/>
      </c>
      <c r="E17" s="354"/>
      <c r="F17" s="108"/>
      <c r="G17" s="47"/>
      <c r="H17" s="47"/>
      <c r="I17" s="47"/>
      <c r="J17" s="47"/>
    </row>
    <row r="18" spans="1:10" ht="19.2" customHeight="1">
      <c r="A18" s="164" t="s">
        <v>121</v>
      </c>
      <c r="B18" s="202"/>
      <c r="C18" s="203">
        <f>SUM($C$14:$C$17)</f>
        <v>0</v>
      </c>
      <c r="D18" s="204"/>
      <c r="E18" s="354"/>
      <c r="F18" s="108"/>
      <c r="G18" s="47"/>
      <c r="H18" s="47"/>
      <c r="I18" s="47"/>
      <c r="J18" s="47"/>
    </row>
    <row r="20" spans="1:10" ht="15.6">
      <c r="A20" s="48" t="s">
        <v>122</v>
      </c>
    </row>
    <row r="21" spans="1:10" ht="16.2" thickBot="1">
      <c r="B21" s="48"/>
    </row>
    <row r="22" spans="1:10" ht="17.399999999999999" customHeight="1">
      <c r="A22" s="355" t="s">
        <v>182</v>
      </c>
      <c r="B22" s="356"/>
      <c r="C22" s="357"/>
    </row>
    <row r="23" spans="1:10" s="87" customFormat="1" ht="17.399999999999999" customHeight="1">
      <c r="A23" s="166">
        <v>1.1000000000000001</v>
      </c>
      <c r="B23" s="167" t="s">
        <v>183</v>
      </c>
      <c r="C23" s="186"/>
    </row>
    <row r="24" spans="1:10" ht="17.399999999999999" customHeight="1">
      <c r="A24" s="166">
        <v>1.2</v>
      </c>
      <c r="B24" s="168" t="s">
        <v>184</v>
      </c>
      <c r="C24" s="186"/>
    </row>
    <row r="25" spans="1:10" ht="17.399999999999999" customHeight="1">
      <c r="A25" s="166">
        <v>1.3</v>
      </c>
      <c r="B25" s="168" t="s">
        <v>185</v>
      </c>
      <c r="C25" s="186"/>
    </row>
    <row r="26" spans="1:10" ht="35.4" customHeight="1">
      <c r="A26" s="166">
        <v>1.4</v>
      </c>
      <c r="B26" s="168" t="s">
        <v>186</v>
      </c>
      <c r="C26" s="187"/>
    </row>
    <row r="27" spans="1:10" ht="17.399999999999999" customHeight="1" thickBot="1">
      <c r="A27" s="171">
        <v>1.5</v>
      </c>
      <c r="B27" s="172" t="s">
        <v>187</v>
      </c>
      <c r="C27" s="185"/>
    </row>
    <row r="28" spans="1:10" ht="17.399999999999999" customHeight="1"/>
    <row r="29" spans="1:10" ht="15.6" thickBot="1"/>
    <row r="30" spans="1:10" ht="15.6">
      <c r="A30" s="344" t="s">
        <v>188</v>
      </c>
      <c r="B30" s="345"/>
      <c r="C30" s="346"/>
    </row>
    <row r="31" spans="1:10" ht="15.6">
      <c r="A31" s="174">
        <v>2.1</v>
      </c>
      <c r="B31" s="169" t="s">
        <v>183</v>
      </c>
      <c r="C31" s="186"/>
    </row>
    <row r="32" spans="1:10" ht="15.6">
      <c r="A32" s="174">
        <v>2.2000000000000002</v>
      </c>
      <c r="B32" s="170" t="s">
        <v>184</v>
      </c>
      <c r="C32" s="186"/>
    </row>
    <row r="33" spans="1:3" ht="15.6">
      <c r="A33" s="174">
        <v>2.2999999999999998</v>
      </c>
      <c r="B33" s="170" t="s">
        <v>185</v>
      </c>
      <c r="C33" s="186"/>
    </row>
    <row r="34" spans="1:3" ht="30">
      <c r="A34" s="174">
        <v>2.4</v>
      </c>
      <c r="B34" s="170" t="s">
        <v>186</v>
      </c>
      <c r="C34" s="187"/>
    </row>
    <row r="35" spans="1:3" ht="18" thickBot="1">
      <c r="A35" s="175">
        <v>2.5</v>
      </c>
      <c r="B35" s="173" t="s">
        <v>187</v>
      </c>
      <c r="C35" s="185"/>
    </row>
    <row r="37" spans="1:3" ht="15.6" thickBot="1"/>
    <row r="38" spans="1:3" ht="15.6">
      <c r="A38" s="347" t="s">
        <v>189</v>
      </c>
      <c r="B38" s="348"/>
      <c r="C38" s="349"/>
    </row>
    <row r="39" spans="1:3" ht="15.6">
      <c r="A39" s="176">
        <v>3.1</v>
      </c>
      <c r="B39" s="177" t="s">
        <v>183</v>
      </c>
      <c r="C39" s="186"/>
    </row>
    <row r="40" spans="1:3" ht="15.6">
      <c r="A40" s="176">
        <v>3.2</v>
      </c>
      <c r="B40" s="178" t="s">
        <v>184</v>
      </c>
      <c r="C40" s="186"/>
    </row>
    <row r="41" spans="1:3" ht="34.950000000000003" customHeight="1">
      <c r="A41" s="176">
        <v>3.3</v>
      </c>
      <c r="B41" s="178" t="s">
        <v>185</v>
      </c>
      <c r="C41" s="186"/>
    </row>
    <row r="42" spans="1:3" ht="30">
      <c r="A42" s="176">
        <v>3.4</v>
      </c>
      <c r="B42" s="178" t="s">
        <v>190</v>
      </c>
      <c r="C42" s="187"/>
    </row>
    <row r="43" spans="1:3" ht="18" thickBot="1">
      <c r="A43" s="176">
        <v>3.5</v>
      </c>
      <c r="B43" s="179" t="s">
        <v>187</v>
      </c>
      <c r="C43" s="185"/>
    </row>
    <row r="44" spans="1:3" ht="15.6" thickBot="1"/>
    <row r="45" spans="1:3" ht="15.6">
      <c r="A45" s="350" t="s">
        <v>191</v>
      </c>
      <c r="B45" s="351"/>
      <c r="C45" s="352"/>
    </row>
    <row r="46" spans="1:3" ht="15.6">
      <c r="A46" s="180">
        <v>4.0999999999999996</v>
      </c>
      <c r="B46" s="181" t="s">
        <v>183</v>
      </c>
      <c r="C46" s="186"/>
    </row>
    <row r="47" spans="1:3" ht="15.6">
      <c r="A47" s="180">
        <v>4.2</v>
      </c>
      <c r="B47" s="182" t="s">
        <v>184</v>
      </c>
      <c r="C47" s="186"/>
    </row>
    <row r="48" spans="1:3" ht="15.6">
      <c r="A48" s="180">
        <v>4.3</v>
      </c>
      <c r="B48" s="182" t="s">
        <v>185</v>
      </c>
      <c r="C48" s="186"/>
    </row>
    <row r="49" spans="1:3" ht="30">
      <c r="A49" s="180">
        <v>4.4000000000000004</v>
      </c>
      <c r="B49" s="182" t="s">
        <v>190</v>
      </c>
      <c r="C49" s="187"/>
    </row>
    <row r="50" spans="1:3" ht="18" thickBot="1">
      <c r="A50" s="183">
        <v>4.5</v>
      </c>
      <c r="B50" s="184" t="s">
        <v>187</v>
      </c>
      <c r="C50" s="185"/>
    </row>
  </sheetData>
  <sheetProtection algorithmName="SHA-512" hashValue="YpKOGSL2vP0FJuRBEVzQ64m5OaKHhpxG8aoqCik2gVyKVibc3pmiG4sO1UAs4t8I0cCl5BdLKJrH2/FsbuFz7g==" saltValue="csQf0DelSxHRL/6+s1MhKg==" spinCount="100000" sheet="1" objects="1" scenarios="1"/>
  <mergeCells count="9">
    <mergeCell ref="A30:C30"/>
    <mergeCell ref="A38:C38"/>
    <mergeCell ref="A45:C45"/>
    <mergeCell ref="B1:D1"/>
    <mergeCell ref="B2:D2"/>
    <mergeCell ref="A4:E4"/>
    <mergeCell ref="A7:F10"/>
    <mergeCell ref="E13:E18"/>
    <mergeCell ref="A22:C22"/>
  </mergeCells>
  <conditionalFormatting sqref="A4:E5 E6 A11:E12 A13:C13 A14:B18 D13:D18">
    <cfRule type="expression" dxfId="14" priority="40">
      <formula>#REF!="Section 2.1 - This section is not applicable as you are not over your BCM allowable."</formula>
    </cfRule>
  </conditionalFormatting>
  <conditionalFormatting sqref="E13">
    <cfRule type="notContainsText" dxfId="13" priority="42" stopIfTrue="1" operator="notContains" text="CORRECT">
      <formula>ISERROR(SEARCH("CORRECT",E13))</formula>
    </cfRule>
  </conditionalFormatting>
  <conditionalFormatting sqref="G3">
    <cfRule type="containsText" dxfId="12" priority="41" stopIfTrue="1" operator="containsText" text="Links">
      <formula>NOT(ISERROR(SEARCH("Links",G3)))</formula>
    </cfRule>
  </conditionalFormatting>
  <conditionalFormatting sqref="C27 C25">
    <cfRule type="expression" dxfId="11" priority="34">
      <formula>LEN(C25)&gt;0</formula>
    </cfRule>
  </conditionalFormatting>
  <conditionalFormatting sqref="C23:C25">
    <cfRule type="expression" dxfId="10" priority="39">
      <formula>LEN(C23)&gt;0</formula>
    </cfRule>
  </conditionalFormatting>
  <conditionalFormatting sqref="C26">
    <cfRule type="expression" dxfId="9" priority="11">
      <formula>C26&gt;0</formula>
    </cfRule>
  </conditionalFormatting>
  <conditionalFormatting sqref="C35 C33">
    <cfRule type="expression" dxfId="8" priority="8">
      <formula>LEN(C33)&gt;0</formula>
    </cfRule>
  </conditionalFormatting>
  <conditionalFormatting sqref="C31:C33">
    <cfRule type="expression" dxfId="7" priority="9">
      <formula>LEN(C31)&gt;0</formula>
    </cfRule>
  </conditionalFormatting>
  <conditionalFormatting sqref="C34">
    <cfRule type="expression" dxfId="6" priority="7">
      <formula>C34&gt;0</formula>
    </cfRule>
  </conditionalFormatting>
  <conditionalFormatting sqref="C43 C41">
    <cfRule type="expression" dxfId="5" priority="5">
      <formula>LEN(C41)&gt;0</formula>
    </cfRule>
  </conditionalFormatting>
  <conditionalFormatting sqref="C39:C41">
    <cfRule type="expression" dxfId="4" priority="6">
      <formula>LEN(C39)&gt;0</formula>
    </cfRule>
  </conditionalFormatting>
  <conditionalFormatting sqref="C42">
    <cfRule type="expression" dxfId="3" priority="4">
      <formula>C42&gt;0</formula>
    </cfRule>
  </conditionalFormatting>
  <conditionalFormatting sqref="C50 C48">
    <cfRule type="expression" dxfId="2" priority="2">
      <formula>LEN(C48)&gt;0</formula>
    </cfRule>
  </conditionalFormatting>
  <conditionalFormatting sqref="C46:C48">
    <cfRule type="expression" dxfId="1" priority="3">
      <formula>LEN(C46)&gt;0</formula>
    </cfRule>
  </conditionalFormatting>
  <conditionalFormatting sqref="C49">
    <cfRule type="expression" dxfId="0" priority="1">
      <formula>C49&gt;0</formula>
    </cfRule>
  </conditionalFormatting>
  <dataValidations count="1">
    <dataValidation type="decimal" allowBlank="1" showInputMessage="1" showErrorMessage="1" sqref="C26 C34 C42 C49" xr:uid="{C6371D17-9920-4578-B7E4-4E8C5D9BD336}">
      <formula1>-99999999</formula1>
      <formula2>99999999</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date" allowBlank="1" showInputMessage="1" showErrorMessage="1" xr:uid="{E9A01FA8-D9EE-412C-B232-E4D97F90F274}">
          <x14:formula1>
            <xm:f>Validation!$B$3</xm:f>
          </x14:formula1>
          <x14:formula2>
            <xm:f>Validation!$B$4</xm:f>
          </x14:formula2>
          <xm:sqref>C43 C27 C35 C50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pageSetUpPr fitToPage="1"/>
  </sheetPr>
  <dimension ref="A1:U297"/>
  <sheetViews>
    <sheetView zoomScale="75" zoomScaleNormal="75" workbookViewId="0">
      <pane ySplit="2" topLeftCell="A3" activePane="bottomLeft" state="frozen"/>
      <selection pane="bottomLeft" activeCell="K13" sqref="K13"/>
    </sheetView>
  </sheetViews>
  <sheetFormatPr defaultRowHeight="15"/>
  <cols>
    <col min="1" max="1" width="8.36328125" style="3" bestFit="1" customWidth="1"/>
    <col min="2" max="2" width="32.08984375" style="59" customWidth="1"/>
    <col min="3" max="3" width="13.453125" style="4" bestFit="1" customWidth="1"/>
    <col min="4" max="4" width="8.36328125" style="5" bestFit="1" customWidth="1"/>
    <col min="5" max="5" width="8.36328125" style="5" customWidth="1"/>
    <col min="6" max="6" width="10.90625" style="3" bestFit="1" customWidth="1"/>
    <col min="7" max="7" width="10.453125" style="3" customWidth="1"/>
    <col min="8" max="8" width="10.453125" style="3" bestFit="1" customWidth="1"/>
    <col min="9" max="9" width="9.453125" style="3" bestFit="1" customWidth="1"/>
    <col min="10" max="10" width="9.453125" style="3" customWidth="1"/>
    <col min="11" max="11" width="11.81640625" style="3" bestFit="1" customWidth="1"/>
    <col min="12" max="12" width="16" style="4" customWidth="1"/>
    <col min="13" max="13" width="12" bestFit="1" customWidth="1"/>
    <col min="14" max="14" width="13.36328125" style="3" bestFit="1" customWidth="1"/>
    <col min="15" max="15" width="12.81640625" customWidth="1"/>
    <col min="16" max="16" width="12.54296875" bestFit="1" customWidth="1"/>
    <col min="17" max="17" width="14.54296875" bestFit="1" customWidth="1"/>
    <col min="18" max="18" width="13.08984375" customWidth="1"/>
    <col min="19" max="19" width="12.453125" bestFit="1" customWidth="1"/>
    <col min="21" max="21" width="17.81640625" customWidth="1"/>
  </cols>
  <sheetData>
    <row r="1" spans="1:21">
      <c r="A1" s="41"/>
      <c r="B1" s="68"/>
      <c r="C1" s="69"/>
      <c r="D1" s="70"/>
      <c r="E1" s="70"/>
      <c r="F1" s="367" t="s">
        <v>516</v>
      </c>
      <c r="G1" s="367"/>
      <c r="H1" s="367"/>
      <c r="I1" s="367"/>
      <c r="J1" s="367"/>
      <c r="K1" s="66" t="s">
        <v>192</v>
      </c>
      <c r="L1" s="69"/>
      <c r="M1" s="12" t="s">
        <v>193</v>
      </c>
      <c r="N1" s="71" t="s">
        <v>512</v>
      </c>
      <c r="O1" s="61"/>
      <c r="P1" s="61"/>
      <c r="Q1" s="12" t="s">
        <v>194</v>
      </c>
      <c r="R1" s="7" t="s">
        <v>194</v>
      </c>
    </row>
    <row r="2" spans="1:21" s="6" customFormat="1">
      <c r="A2" s="72" t="s">
        <v>195</v>
      </c>
      <c r="B2" s="73" t="s">
        <v>196</v>
      </c>
      <c r="C2" s="74" t="s">
        <v>197</v>
      </c>
      <c r="D2" s="74" t="s">
        <v>198</v>
      </c>
      <c r="E2" s="67" t="s">
        <v>199</v>
      </c>
      <c r="F2" s="65" t="s">
        <v>200</v>
      </c>
      <c r="G2" s="65" t="s">
        <v>201</v>
      </c>
      <c r="H2" s="65" t="s">
        <v>202</v>
      </c>
      <c r="I2" s="65" t="s">
        <v>203</v>
      </c>
      <c r="J2" s="65" t="s">
        <v>517</v>
      </c>
      <c r="K2" s="65" t="s">
        <v>204</v>
      </c>
      <c r="L2" s="75" t="s">
        <v>121</v>
      </c>
      <c r="M2" s="13" t="s">
        <v>205</v>
      </c>
      <c r="N2" s="76" t="s">
        <v>206</v>
      </c>
      <c r="O2" s="62" t="s">
        <v>207</v>
      </c>
      <c r="P2" s="13" t="s">
        <v>208</v>
      </c>
      <c r="Q2" s="13">
        <v>10000</v>
      </c>
      <c r="R2" s="8">
        <v>0.15</v>
      </c>
    </row>
    <row r="3" spans="1:21">
      <c r="A3" s="77">
        <v>1001</v>
      </c>
      <c r="B3" s="60" t="s">
        <v>209</v>
      </c>
      <c r="C3" s="78">
        <f>IF(D3=1,L3*0.12,IF(D3=3,L3*0.085,L3*0.075))</f>
        <v>81355.577999999994</v>
      </c>
      <c r="D3" s="79">
        <v>1</v>
      </c>
      <c r="E3" s="80">
        <f t="shared" ref="E3:E61" si="0">IF(D3=1,0.12,IF(D3=4,0.085,0.075))</f>
        <v>0.12</v>
      </c>
      <c r="F3" s="81">
        <v>677025.15</v>
      </c>
      <c r="G3" s="81">
        <v>0</v>
      </c>
      <c r="H3" s="81">
        <v>938</v>
      </c>
      <c r="I3" s="81">
        <v>0</v>
      </c>
      <c r="J3" s="81">
        <v>0</v>
      </c>
      <c r="K3" s="81">
        <v>0</v>
      </c>
      <c r="L3" s="82">
        <f t="shared" ref="L3:L52" si="1">SUM(F3:K3)</f>
        <v>677963.15</v>
      </c>
      <c r="M3" s="2">
        <f>Balances_form!$E$5</f>
        <v>0</v>
      </c>
      <c r="N3" s="82">
        <v>-69874.379999999946</v>
      </c>
      <c r="O3" s="9">
        <f>N3-M3</f>
        <v>-69874.379999999946</v>
      </c>
      <c r="P3" s="10" t="e">
        <f>O3/M3</f>
        <v>#DIV/0!</v>
      </c>
      <c r="Q3" s="11" t="e">
        <f>IF(AND(O3&lt;$Q$2,O3&gt;-$Q$2),"Within Tolerance",IF(AND(P3&lt;$R$2,P3&gt;-$R$2),"Within Tolerance",O3))</f>
        <v>#DIV/0!</v>
      </c>
      <c r="U3" s="9"/>
    </row>
    <row r="4" spans="1:21" ht="15" customHeight="1">
      <c r="A4" s="77">
        <v>1123</v>
      </c>
      <c r="B4" s="60" t="s">
        <v>210</v>
      </c>
      <c r="C4" s="78">
        <f t="shared" ref="C4:C62" si="2">IF(D4=1,L4*0.12,IF(D4=3,L4*0.085,L4*0.075))</f>
        <v>470726.0148</v>
      </c>
      <c r="D4" s="79">
        <v>1</v>
      </c>
      <c r="E4" s="80">
        <f t="shared" si="0"/>
        <v>0.12</v>
      </c>
      <c r="F4" s="81">
        <v>1967018.27</v>
      </c>
      <c r="G4" s="81">
        <v>0</v>
      </c>
      <c r="H4" s="81">
        <v>1955698.5200000003</v>
      </c>
      <c r="I4" s="81">
        <v>0</v>
      </c>
      <c r="J4" s="81">
        <v>0</v>
      </c>
      <c r="K4" s="81">
        <v>0</v>
      </c>
      <c r="L4" s="82">
        <f t="shared" si="1"/>
        <v>3922716.79</v>
      </c>
      <c r="M4" s="2">
        <f>Balances_form!$E$5</f>
        <v>0</v>
      </c>
      <c r="N4" s="82">
        <v>-788679</v>
      </c>
      <c r="O4" s="9">
        <f t="shared" ref="O4:O53" si="3">N4-M4</f>
        <v>-788679</v>
      </c>
      <c r="P4" s="10" t="e">
        <f t="shared" ref="P4:P53" si="4">O4/M4</f>
        <v>#DIV/0!</v>
      </c>
      <c r="Q4" s="11" t="e">
        <f t="shared" ref="Q4:Q53" si="5">IF(AND(O4&lt;$Q$2,O4&gt;-$Q$2),"Within Tolerance",IF(AND(P4&lt;$R$2,P4&gt;-$R$2),"Within Tolerance",O4))</f>
        <v>#DIV/0!</v>
      </c>
      <c r="U4" s="9"/>
    </row>
    <row r="5" spans="1:21" ht="15" customHeight="1">
      <c r="A5" s="77">
        <v>1124</v>
      </c>
      <c r="B5" s="60" t="s">
        <v>211</v>
      </c>
      <c r="C5" s="78">
        <f t="shared" si="2"/>
        <v>87290.896800000002</v>
      </c>
      <c r="D5" s="79">
        <v>1</v>
      </c>
      <c r="E5" s="80">
        <f t="shared" si="0"/>
        <v>0.12</v>
      </c>
      <c r="F5" s="81">
        <v>498490.93</v>
      </c>
      <c r="G5" s="81">
        <v>0</v>
      </c>
      <c r="H5" s="81">
        <v>225533.21</v>
      </c>
      <c r="I5" s="81">
        <v>1000</v>
      </c>
      <c r="J5" s="81">
        <v>2400</v>
      </c>
      <c r="K5" s="81">
        <v>0</v>
      </c>
      <c r="L5" s="82">
        <f t="shared" si="1"/>
        <v>727424.14</v>
      </c>
      <c r="M5" s="2">
        <f>Balances_form!$E$5</f>
        <v>0</v>
      </c>
      <c r="N5" s="82">
        <v>-64758.239999999787</v>
      </c>
      <c r="O5" s="9">
        <f t="shared" si="3"/>
        <v>-64758.239999999787</v>
      </c>
      <c r="P5" s="10" t="e">
        <f t="shared" si="4"/>
        <v>#DIV/0!</v>
      </c>
      <c r="Q5" s="11" t="e">
        <f t="shared" si="5"/>
        <v>#DIV/0!</v>
      </c>
      <c r="U5" s="9"/>
    </row>
    <row r="6" spans="1:21" ht="15" customHeight="1" thickBot="1">
      <c r="A6" s="77">
        <v>1127</v>
      </c>
      <c r="B6" s="60" t="s">
        <v>212</v>
      </c>
      <c r="C6" s="78">
        <f t="shared" si="2"/>
        <v>165983.93039999998</v>
      </c>
      <c r="D6" s="79">
        <v>1</v>
      </c>
      <c r="E6" s="80">
        <f t="shared" si="0"/>
        <v>0.12</v>
      </c>
      <c r="F6" s="81">
        <v>940545.04</v>
      </c>
      <c r="G6" s="81">
        <v>0</v>
      </c>
      <c r="H6" s="81">
        <v>440379.38</v>
      </c>
      <c r="I6" s="81">
        <v>2275</v>
      </c>
      <c r="J6" s="81">
        <v>0</v>
      </c>
      <c r="K6" s="81">
        <v>0</v>
      </c>
      <c r="L6" s="82">
        <f t="shared" si="1"/>
        <v>1383199.42</v>
      </c>
      <c r="M6" s="2">
        <f>Balances_form!$E$5</f>
        <v>0</v>
      </c>
      <c r="N6" s="82">
        <v>-273625.11000000004</v>
      </c>
      <c r="O6" s="9">
        <f t="shared" si="3"/>
        <v>-273625.11000000004</v>
      </c>
      <c r="P6" s="10" t="e">
        <f t="shared" si="4"/>
        <v>#DIV/0!</v>
      </c>
      <c r="Q6" s="11" t="e">
        <f t="shared" si="5"/>
        <v>#DIV/0!</v>
      </c>
      <c r="U6" s="9"/>
    </row>
    <row r="7" spans="1:21" ht="15" customHeight="1">
      <c r="A7" s="77">
        <v>1128</v>
      </c>
      <c r="B7" s="60" t="s">
        <v>213</v>
      </c>
      <c r="C7" s="78">
        <f t="shared" si="2"/>
        <v>245774.5668</v>
      </c>
      <c r="D7" s="79">
        <v>1</v>
      </c>
      <c r="E7" s="80">
        <f t="shared" si="0"/>
        <v>0.12</v>
      </c>
      <c r="F7" s="81">
        <v>1364564.37</v>
      </c>
      <c r="G7" s="81">
        <v>0</v>
      </c>
      <c r="H7" s="81">
        <v>677457.02</v>
      </c>
      <c r="I7" s="81">
        <v>6100</v>
      </c>
      <c r="J7" s="81">
        <v>0</v>
      </c>
      <c r="K7" s="81">
        <v>0</v>
      </c>
      <c r="L7" s="82">
        <f t="shared" si="1"/>
        <v>2048121.3900000001</v>
      </c>
      <c r="M7" s="2">
        <f>Balances_form!$E$5</f>
        <v>0</v>
      </c>
      <c r="N7" s="82">
        <v>-194616.66999999946</v>
      </c>
      <c r="O7" s="9">
        <f t="shared" si="3"/>
        <v>-194616.66999999946</v>
      </c>
      <c r="P7" s="10" t="e">
        <f t="shared" si="4"/>
        <v>#DIV/0!</v>
      </c>
      <c r="Q7" s="11" t="e">
        <f t="shared" si="5"/>
        <v>#DIV/0!</v>
      </c>
      <c r="R7" s="358" t="s">
        <v>214</v>
      </c>
      <c r="S7" s="359"/>
      <c r="T7" s="360"/>
      <c r="U7" s="9"/>
    </row>
    <row r="8" spans="1:21" ht="15" customHeight="1">
      <c r="A8" s="77">
        <v>1129</v>
      </c>
      <c r="B8" s="60" t="s">
        <v>215</v>
      </c>
      <c r="C8" s="78">
        <f t="shared" si="2"/>
        <v>22039.655999999999</v>
      </c>
      <c r="D8" s="79">
        <v>1</v>
      </c>
      <c r="E8" s="80">
        <f t="shared" si="0"/>
        <v>0.12</v>
      </c>
      <c r="F8" s="81">
        <v>110000</v>
      </c>
      <c r="G8" s="81">
        <v>0</v>
      </c>
      <c r="H8" s="81">
        <v>73663.799999999988</v>
      </c>
      <c r="I8" s="81">
        <v>0</v>
      </c>
      <c r="J8" s="81">
        <v>0</v>
      </c>
      <c r="K8" s="81">
        <v>0</v>
      </c>
      <c r="L8" s="82">
        <f t="shared" si="1"/>
        <v>183663.8</v>
      </c>
      <c r="M8" s="2">
        <f>Balances_form!$E$5</f>
        <v>0</v>
      </c>
      <c r="N8" s="82">
        <v>0</v>
      </c>
      <c r="O8" s="9">
        <f t="shared" si="3"/>
        <v>0</v>
      </c>
      <c r="P8" s="10" t="e">
        <f t="shared" si="4"/>
        <v>#DIV/0!</v>
      </c>
      <c r="Q8" s="11" t="str">
        <f t="shared" si="5"/>
        <v>Within Tolerance</v>
      </c>
      <c r="R8" s="361"/>
      <c r="S8" s="362"/>
      <c r="T8" s="363"/>
      <c r="U8" s="9"/>
    </row>
    <row r="9" spans="1:21" ht="15" customHeight="1">
      <c r="A9" s="77">
        <v>2000</v>
      </c>
      <c r="B9" s="60" t="s">
        <v>216</v>
      </c>
      <c r="C9" s="78">
        <f t="shared" si="2"/>
        <v>376075.9044</v>
      </c>
      <c r="D9" s="79">
        <v>1</v>
      </c>
      <c r="E9" s="80">
        <f t="shared" si="0"/>
        <v>0.12</v>
      </c>
      <c r="F9" s="81">
        <v>2592070.65</v>
      </c>
      <c r="G9" s="81">
        <v>0</v>
      </c>
      <c r="H9" s="81">
        <v>137901.43</v>
      </c>
      <c r="I9" s="81">
        <v>289385</v>
      </c>
      <c r="J9" s="81">
        <v>61328.79</v>
      </c>
      <c r="K9" s="81">
        <v>53280</v>
      </c>
      <c r="L9" s="82">
        <f t="shared" si="1"/>
        <v>3133965.87</v>
      </c>
      <c r="M9" s="2">
        <f>Balances_form!$E$5</f>
        <v>0</v>
      </c>
      <c r="N9" s="82">
        <v>-519.78000000061547</v>
      </c>
      <c r="O9" s="9">
        <f t="shared" si="3"/>
        <v>-519.78000000061547</v>
      </c>
      <c r="P9" s="10" t="e">
        <f t="shared" si="4"/>
        <v>#DIV/0!</v>
      </c>
      <c r="Q9" s="11" t="str">
        <f t="shared" si="5"/>
        <v>Within Tolerance</v>
      </c>
      <c r="R9" s="361"/>
      <c r="S9" s="362"/>
      <c r="T9" s="363"/>
      <c r="U9" s="9"/>
    </row>
    <row r="10" spans="1:21" ht="15.75" customHeight="1">
      <c r="A10" s="77">
        <v>2002</v>
      </c>
      <c r="B10" s="60" t="s">
        <v>217</v>
      </c>
      <c r="C10" s="78">
        <f t="shared" si="2"/>
        <v>306307.97639999999</v>
      </c>
      <c r="D10" s="79">
        <v>1</v>
      </c>
      <c r="E10" s="80">
        <f t="shared" si="0"/>
        <v>0.12</v>
      </c>
      <c r="F10" s="81">
        <v>2137488.63</v>
      </c>
      <c r="G10" s="81">
        <v>0</v>
      </c>
      <c r="H10" s="81">
        <v>181504.85</v>
      </c>
      <c r="I10" s="81">
        <v>122865</v>
      </c>
      <c r="J10" s="81">
        <v>90780.290000000008</v>
      </c>
      <c r="K10" s="81">
        <v>19927.7</v>
      </c>
      <c r="L10" s="82">
        <f t="shared" si="1"/>
        <v>2552566.4700000002</v>
      </c>
      <c r="M10" s="2">
        <f>Balances_form!$E$5</f>
        <v>0</v>
      </c>
      <c r="N10" s="82">
        <v>-295833.49999999884</v>
      </c>
      <c r="O10" s="9">
        <f t="shared" si="3"/>
        <v>-295833.49999999884</v>
      </c>
      <c r="P10" s="10" t="e">
        <f t="shared" si="4"/>
        <v>#DIV/0!</v>
      </c>
      <c r="Q10" s="11" t="e">
        <f t="shared" si="5"/>
        <v>#DIV/0!</v>
      </c>
      <c r="R10" s="361"/>
      <c r="S10" s="362"/>
      <c r="T10" s="363"/>
      <c r="U10" s="9"/>
    </row>
    <row r="11" spans="1:21">
      <c r="A11" s="83">
        <v>2065</v>
      </c>
      <c r="B11" s="60" t="s">
        <v>218</v>
      </c>
      <c r="C11" s="78">
        <f t="shared" si="2"/>
        <v>447884.0772</v>
      </c>
      <c r="D11" s="79">
        <v>1</v>
      </c>
      <c r="E11" s="80">
        <f t="shared" si="0"/>
        <v>0.12</v>
      </c>
      <c r="F11" s="81">
        <v>3195250.77</v>
      </c>
      <c r="G11" s="81">
        <v>0</v>
      </c>
      <c r="H11" s="81">
        <v>208998.32</v>
      </c>
      <c r="I11" s="81">
        <v>79795</v>
      </c>
      <c r="J11" s="81">
        <v>152308.22</v>
      </c>
      <c r="K11" s="81">
        <v>96015</v>
      </c>
      <c r="L11" s="82">
        <f t="shared" si="1"/>
        <v>3732367.31</v>
      </c>
      <c r="M11" s="2">
        <f>Balances_form!$E$5</f>
        <v>0</v>
      </c>
      <c r="N11" s="82">
        <v>-65954.27999999981</v>
      </c>
      <c r="O11" s="9">
        <f t="shared" si="3"/>
        <v>-65954.27999999981</v>
      </c>
      <c r="P11" s="10" t="e">
        <f t="shared" si="4"/>
        <v>#DIV/0!</v>
      </c>
      <c r="Q11" s="11" t="e">
        <f t="shared" si="5"/>
        <v>#DIV/0!</v>
      </c>
      <c r="R11" s="361"/>
      <c r="S11" s="362"/>
      <c r="T11" s="363"/>
      <c r="U11" s="9"/>
    </row>
    <row r="12" spans="1:21">
      <c r="A12" s="83">
        <v>2079</v>
      </c>
      <c r="B12" s="60" t="s">
        <v>219</v>
      </c>
      <c r="C12" s="78">
        <f t="shared" si="2"/>
        <v>391319.7132</v>
      </c>
      <c r="D12" s="79">
        <v>1</v>
      </c>
      <c r="E12" s="80">
        <f t="shared" si="0"/>
        <v>0.12</v>
      </c>
      <c r="F12" s="81">
        <v>2780699.6</v>
      </c>
      <c r="G12" s="81">
        <v>0</v>
      </c>
      <c r="H12" s="81">
        <v>108095.43999999999</v>
      </c>
      <c r="I12" s="81">
        <v>211754.64</v>
      </c>
      <c r="J12" s="81">
        <v>89962.93</v>
      </c>
      <c r="K12" s="81">
        <v>70485</v>
      </c>
      <c r="L12" s="82">
        <f t="shared" si="1"/>
        <v>3260997.6100000003</v>
      </c>
      <c r="M12" s="2">
        <f>Balances_form!$E$5</f>
        <v>0</v>
      </c>
      <c r="N12" s="82">
        <v>-334513.13999999949</v>
      </c>
      <c r="O12" s="9">
        <f t="shared" si="3"/>
        <v>-334513.13999999949</v>
      </c>
      <c r="P12" s="10" t="e">
        <f t="shared" si="4"/>
        <v>#DIV/0!</v>
      </c>
      <c r="Q12" s="11" t="e">
        <f t="shared" si="5"/>
        <v>#DIV/0!</v>
      </c>
      <c r="R12" s="361"/>
      <c r="S12" s="362"/>
      <c r="T12" s="363"/>
      <c r="U12" s="9"/>
    </row>
    <row r="13" spans="1:21">
      <c r="A13" s="83">
        <v>2088</v>
      </c>
      <c r="B13" s="60" t="s">
        <v>220</v>
      </c>
      <c r="C13" s="78">
        <f t="shared" si="2"/>
        <v>164020.43039999998</v>
      </c>
      <c r="D13" s="79">
        <v>1</v>
      </c>
      <c r="E13" s="80">
        <f t="shared" si="0"/>
        <v>0.12</v>
      </c>
      <c r="F13" s="81">
        <v>1174501.77</v>
      </c>
      <c r="G13" s="81">
        <v>0</v>
      </c>
      <c r="H13" s="81">
        <v>16314.150000000001</v>
      </c>
      <c r="I13" s="81">
        <v>93110</v>
      </c>
      <c r="J13" s="81">
        <v>47946</v>
      </c>
      <c r="K13" s="81">
        <v>34965</v>
      </c>
      <c r="L13" s="82">
        <f t="shared" si="1"/>
        <v>1366836.92</v>
      </c>
      <c r="M13" s="2">
        <f>Balances_form!$E$5</f>
        <v>0</v>
      </c>
      <c r="N13" s="82">
        <v>-119878.94000000024</v>
      </c>
      <c r="O13" s="9">
        <f t="shared" si="3"/>
        <v>-119878.94000000024</v>
      </c>
      <c r="P13" s="10" t="e">
        <f t="shared" si="4"/>
        <v>#DIV/0!</v>
      </c>
      <c r="Q13" s="11" t="e">
        <f t="shared" si="5"/>
        <v>#DIV/0!</v>
      </c>
      <c r="R13" s="361"/>
      <c r="S13" s="362"/>
      <c r="T13" s="363"/>
      <c r="U13" s="9"/>
    </row>
    <row r="14" spans="1:21">
      <c r="A14" s="83">
        <v>2089</v>
      </c>
      <c r="B14" s="60" t="s">
        <v>221</v>
      </c>
      <c r="C14" s="78">
        <f t="shared" si="2"/>
        <v>184243.14600000001</v>
      </c>
      <c r="D14" s="79">
        <v>1</v>
      </c>
      <c r="E14" s="80">
        <f t="shared" si="0"/>
        <v>0.12</v>
      </c>
      <c r="F14" s="81">
        <v>1370337.55</v>
      </c>
      <c r="G14" s="81">
        <v>0</v>
      </c>
      <c r="H14" s="81">
        <v>68234.5</v>
      </c>
      <c r="I14" s="81">
        <v>50710</v>
      </c>
      <c r="J14" s="81">
        <v>38918</v>
      </c>
      <c r="K14" s="81">
        <v>7159.5</v>
      </c>
      <c r="L14" s="82">
        <f t="shared" si="1"/>
        <v>1535359.55</v>
      </c>
      <c r="M14" s="2">
        <f>Balances_form!$E$5</f>
        <v>0</v>
      </c>
      <c r="N14" s="82">
        <v>-42631.829999999834</v>
      </c>
      <c r="O14" s="9">
        <f t="shared" si="3"/>
        <v>-42631.829999999834</v>
      </c>
      <c r="P14" s="10" t="e">
        <f t="shared" si="4"/>
        <v>#DIV/0!</v>
      </c>
      <c r="Q14" s="11" t="e">
        <f t="shared" si="5"/>
        <v>#DIV/0!</v>
      </c>
      <c r="R14" s="361"/>
      <c r="S14" s="362"/>
      <c r="T14" s="363"/>
      <c r="U14" s="9"/>
    </row>
    <row r="15" spans="1:21">
      <c r="A15" s="83">
        <v>2094</v>
      </c>
      <c r="B15" s="60" t="s">
        <v>222</v>
      </c>
      <c r="C15" s="78">
        <f t="shared" si="2"/>
        <v>158202.06599999999</v>
      </c>
      <c r="D15" s="79">
        <v>1</v>
      </c>
      <c r="E15" s="80">
        <f t="shared" si="0"/>
        <v>0.12</v>
      </c>
      <c r="F15" s="81">
        <v>1107925.48</v>
      </c>
      <c r="G15" s="81">
        <v>0</v>
      </c>
      <c r="H15" s="81">
        <v>58551.37</v>
      </c>
      <c r="I15" s="81">
        <v>32845</v>
      </c>
      <c r="J15" s="81">
        <v>96823.2</v>
      </c>
      <c r="K15" s="81">
        <v>22205.5</v>
      </c>
      <c r="L15" s="82">
        <f t="shared" si="1"/>
        <v>1318350.55</v>
      </c>
      <c r="M15" s="2">
        <f>Balances_form!$E$5</f>
        <v>0</v>
      </c>
      <c r="N15" s="82">
        <v>-133420.8099999991</v>
      </c>
      <c r="O15" s="9">
        <f t="shared" si="3"/>
        <v>-133420.8099999991</v>
      </c>
      <c r="P15" s="10" t="e">
        <f t="shared" si="4"/>
        <v>#DIV/0!</v>
      </c>
      <c r="Q15" s="11" t="e">
        <f t="shared" si="5"/>
        <v>#DIV/0!</v>
      </c>
      <c r="R15" s="361"/>
      <c r="S15" s="362"/>
      <c r="T15" s="363"/>
      <c r="U15" s="9"/>
    </row>
    <row r="16" spans="1:21">
      <c r="A16" s="83">
        <v>2095</v>
      </c>
      <c r="B16" s="60" t="s">
        <v>223</v>
      </c>
      <c r="C16" s="78">
        <f t="shared" si="2"/>
        <v>317631.78240000003</v>
      </c>
      <c r="D16" s="79">
        <v>1</v>
      </c>
      <c r="E16" s="80">
        <f t="shared" si="0"/>
        <v>0.12</v>
      </c>
      <c r="F16" s="81">
        <v>2269455.5900000003</v>
      </c>
      <c r="G16" s="81">
        <v>0</v>
      </c>
      <c r="H16" s="81">
        <v>164646.43</v>
      </c>
      <c r="I16" s="81">
        <v>99990</v>
      </c>
      <c r="J16" s="81">
        <v>67052</v>
      </c>
      <c r="K16" s="81">
        <v>45787.5</v>
      </c>
      <c r="L16" s="82">
        <f t="shared" si="1"/>
        <v>2646931.5200000005</v>
      </c>
      <c r="M16" s="2">
        <f>Balances_form!$E$5</f>
        <v>0</v>
      </c>
      <c r="N16" s="82">
        <v>-45480.790000000707</v>
      </c>
      <c r="O16" s="9">
        <f t="shared" si="3"/>
        <v>-45480.790000000707</v>
      </c>
      <c r="P16" s="10" t="e">
        <f t="shared" si="4"/>
        <v>#DIV/0!</v>
      </c>
      <c r="Q16" s="11" t="e">
        <f t="shared" si="5"/>
        <v>#DIV/0!</v>
      </c>
      <c r="R16" s="361"/>
      <c r="S16" s="362"/>
      <c r="T16" s="363"/>
      <c r="U16" s="9"/>
    </row>
    <row r="17" spans="1:21">
      <c r="A17" s="83">
        <v>2109</v>
      </c>
      <c r="B17" s="60" t="s">
        <v>224</v>
      </c>
      <c r="C17" s="78">
        <f t="shared" si="2"/>
        <v>162497.19479999997</v>
      </c>
      <c r="D17" s="79">
        <v>1</v>
      </c>
      <c r="E17" s="80">
        <f t="shared" si="0"/>
        <v>0.12</v>
      </c>
      <c r="F17" s="81">
        <v>1110567.5299999998</v>
      </c>
      <c r="G17" s="81">
        <v>0</v>
      </c>
      <c r="H17" s="81">
        <v>113485.83000000002</v>
      </c>
      <c r="I17" s="81">
        <v>46165</v>
      </c>
      <c r="J17" s="81">
        <v>58974.93</v>
      </c>
      <c r="K17" s="81">
        <v>24950</v>
      </c>
      <c r="L17" s="82">
        <f t="shared" si="1"/>
        <v>1354143.2899999998</v>
      </c>
      <c r="M17" s="2">
        <f>Balances_form!$E$5</f>
        <v>0</v>
      </c>
      <c r="N17" s="82">
        <v>-76831.559999999547</v>
      </c>
      <c r="O17" s="9">
        <f t="shared" si="3"/>
        <v>-76831.559999999547</v>
      </c>
      <c r="P17" s="10" t="e">
        <f t="shared" si="4"/>
        <v>#DIV/0!</v>
      </c>
      <c r="Q17" s="11" t="e">
        <f t="shared" si="5"/>
        <v>#DIV/0!</v>
      </c>
      <c r="R17" s="361"/>
      <c r="S17" s="362"/>
      <c r="T17" s="363"/>
      <c r="U17" s="9"/>
    </row>
    <row r="18" spans="1:21" ht="15.6" thickBot="1">
      <c r="A18" s="83">
        <v>2116</v>
      </c>
      <c r="B18" s="60" t="s">
        <v>225</v>
      </c>
      <c r="C18" s="78">
        <f t="shared" si="2"/>
        <v>212761.94279999996</v>
      </c>
      <c r="D18" s="79">
        <v>1</v>
      </c>
      <c r="E18" s="80">
        <f t="shared" si="0"/>
        <v>0.12</v>
      </c>
      <c r="F18" s="81">
        <v>1496069.4899999998</v>
      </c>
      <c r="G18" s="81">
        <v>0</v>
      </c>
      <c r="H18" s="81">
        <v>57693.77</v>
      </c>
      <c r="I18" s="81">
        <v>162290</v>
      </c>
      <c r="J18" s="81">
        <v>36503.93</v>
      </c>
      <c r="K18" s="81">
        <v>20459</v>
      </c>
      <c r="L18" s="82">
        <f t="shared" si="1"/>
        <v>1773016.1899999997</v>
      </c>
      <c r="M18" s="2">
        <f>Balances_form!$E$5</f>
        <v>0</v>
      </c>
      <c r="N18" s="82">
        <v>-42082.839999999393</v>
      </c>
      <c r="O18" s="9">
        <f t="shared" si="3"/>
        <v>-42082.839999999393</v>
      </c>
      <c r="P18" s="10" t="e">
        <f t="shared" si="4"/>
        <v>#DIV/0!</v>
      </c>
      <c r="Q18" s="11" t="e">
        <f t="shared" si="5"/>
        <v>#DIV/0!</v>
      </c>
      <c r="R18" s="364"/>
      <c r="S18" s="365"/>
      <c r="T18" s="366"/>
      <c r="U18" s="9"/>
    </row>
    <row r="19" spans="1:21">
      <c r="A19" s="83">
        <v>2120</v>
      </c>
      <c r="B19" s="60" t="s">
        <v>226</v>
      </c>
      <c r="C19" s="78">
        <f t="shared" si="2"/>
        <v>166456.16279999999</v>
      </c>
      <c r="D19" s="79">
        <v>1</v>
      </c>
      <c r="E19" s="80">
        <f t="shared" si="0"/>
        <v>0.12</v>
      </c>
      <c r="F19" s="81">
        <v>1213729.25</v>
      </c>
      <c r="G19" s="81">
        <v>0</v>
      </c>
      <c r="H19" s="81">
        <v>16897.79</v>
      </c>
      <c r="I19" s="81">
        <v>78780</v>
      </c>
      <c r="J19" s="81">
        <v>61011.15</v>
      </c>
      <c r="K19" s="81">
        <v>16716.5</v>
      </c>
      <c r="L19" s="82">
        <f t="shared" si="1"/>
        <v>1387134.69</v>
      </c>
      <c r="M19" s="2">
        <f>Balances_form!$E$5</f>
        <v>0</v>
      </c>
      <c r="N19" s="82">
        <v>-167760.04000000062</v>
      </c>
      <c r="O19" s="9">
        <f t="shared" si="3"/>
        <v>-167760.04000000062</v>
      </c>
      <c r="P19" s="10" t="e">
        <f t="shared" si="4"/>
        <v>#DIV/0!</v>
      </c>
      <c r="Q19" s="11" t="e">
        <f t="shared" si="5"/>
        <v>#DIV/0!</v>
      </c>
      <c r="U19" s="9"/>
    </row>
    <row r="20" spans="1:21">
      <c r="A20" s="83">
        <v>2128</v>
      </c>
      <c r="B20" s="60" t="s">
        <v>227</v>
      </c>
      <c r="C20" s="78">
        <f t="shared" si="2"/>
        <v>152005.3224</v>
      </c>
      <c r="D20" s="79">
        <v>1</v>
      </c>
      <c r="E20" s="80">
        <f t="shared" si="0"/>
        <v>0.12</v>
      </c>
      <c r="F20" s="81">
        <v>1088911.8600000001</v>
      </c>
      <c r="G20" s="81">
        <v>0</v>
      </c>
      <c r="H20" s="81">
        <v>30662.980000000003</v>
      </c>
      <c r="I20" s="81">
        <v>70805</v>
      </c>
      <c r="J20" s="81">
        <v>52503.93</v>
      </c>
      <c r="K20" s="81">
        <v>23827.25</v>
      </c>
      <c r="L20" s="82">
        <f t="shared" si="1"/>
        <v>1266711.02</v>
      </c>
      <c r="M20" s="2">
        <f>Balances_form!$E$5</f>
        <v>0</v>
      </c>
      <c r="N20" s="82">
        <v>-3976.8400000003312</v>
      </c>
      <c r="O20" s="9">
        <f t="shared" si="3"/>
        <v>-3976.8400000003312</v>
      </c>
      <c r="P20" s="10" t="e">
        <f t="shared" si="4"/>
        <v>#DIV/0!</v>
      </c>
      <c r="Q20" s="11" t="str">
        <f t="shared" si="5"/>
        <v>Within Tolerance</v>
      </c>
      <c r="R20" s="41"/>
      <c r="U20" s="9"/>
    </row>
    <row r="21" spans="1:21">
      <c r="A21" s="83">
        <v>2130</v>
      </c>
      <c r="B21" s="60" t="s">
        <v>228</v>
      </c>
      <c r="C21" s="78">
        <f t="shared" si="2"/>
        <v>144420.67199999999</v>
      </c>
      <c r="D21" s="79">
        <v>1</v>
      </c>
      <c r="E21" s="80">
        <f t="shared" si="0"/>
        <v>0.12</v>
      </c>
      <c r="F21" s="81">
        <v>1006231.8700000001</v>
      </c>
      <c r="G21" s="81">
        <v>0</v>
      </c>
      <c r="H21" s="81">
        <v>29358.2</v>
      </c>
      <c r="I21" s="81">
        <v>86705</v>
      </c>
      <c r="J21" s="81">
        <v>47355.53</v>
      </c>
      <c r="K21" s="81">
        <v>33855</v>
      </c>
      <c r="L21" s="82">
        <f t="shared" si="1"/>
        <v>1203505.6000000001</v>
      </c>
      <c r="M21" s="2">
        <f>Balances_form!$E$5</f>
        <v>0</v>
      </c>
      <c r="N21" s="82">
        <v>-47193.490000000493</v>
      </c>
      <c r="O21" s="9">
        <f t="shared" si="3"/>
        <v>-47193.490000000493</v>
      </c>
      <c r="P21" s="10" t="e">
        <f t="shared" si="4"/>
        <v>#DIV/0!</v>
      </c>
      <c r="Q21" s="11" t="e">
        <f t="shared" si="5"/>
        <v>#DIV/0!</v>
      </c>
      <c r="U21" s="9"/>
    </row>
    <row r="22" spans="1:21">
      <c r="A22" s="83">
        <v>2132</v>
      </c>
      <c r="B22" s="60" t="s">
        <v>229</v>
      </c>
      <c r="C22" s="78">
        <f t="shared" si="2"/>
        <v>162898.59719999999</v>
      </c>
      <c r="D22" s="79">
        <v>1</v>
      </c>
      <c r="E22" s="80">
        <f t="shared" si="0"/>
        <v>0.12</v>
      </c>
      <c r="F22" s="81">
        <v>1074047.82</v>
      </c>
      <c r="G22" s="81">
        <v>0</v>
      </c>
      <c r="H22" s="81">
        <v>113781.42</v>
      </c>
      <c r="I22" s="81">
        <v>99590</v>
      </c>
      <c r="J22" s="81">
        <v>44869.57</v>
      </c>
      <c r="K22" s="81">
        <v>25199.5</v>
      </c>
      <c r="L22" s="82">
        <f t="shared" si="1"/>
        <v>1357488.31</v>
      </c>
      <c r="M22" s="2">
        <f>Balances_form!$E$5</f>
        <v>0</v>
      </c>
      <c r="N22" s="82">
        <v>-158609.34999999969</v>
      </c>
      <c r="O22" s="9">
        <f t="shared" si="3"/>
        <v>-158609.34999999969</v>
      </c>
      <c r="P22" s="10" t="e">
        <f t="shared" si="4"/>
        <v>#DIV/0!</v>
      </c>
      <c r="Q22" s="11" t="e">
        <f t="shared" si="5"/>
        <v>#DIV/0!</v>
      </c>
      <c r="U22" s="9"/>
    </row>
    <row r="23" spans="1:21">
      <c r="A23" s="83">
        <v>2136</v>
      </c>
      <c r="B23" s="60" t="s">
        <v>230</v>
      </c>
      <c r="C23" s="78">
        <f t="shared" si="2"/>
        <v>135757.71720000001</v>
      </c>
      <c r="D23" s="79">
        <v>1</v>
      </c>
      <c r="E23" s="80">
        <f t="shared" si="0"/>
        <v>0.12</v>
      </c>
      <c r="F23" s="81">
        <v>959762.15</v>
      </c>
      <c r="G23" s="81">
        <v>0</v>
      </c>
      <c r="H23" s="81">
        <v>51440.56</v>
      </c>
      <c r="I23" s="81">
        <v>39390</v>
      </c>
      <c r="J23" s="81">
        <v>56021.1</v>
      </c>
      <c r="K23" s="81">
        <v>24700.5</v>
      </c>
      <c r="L23" s="82">
        <f t="shared" si="1"/>
        <v>1131314.31</v>
      </c>
      <c r="M23" s="2">
        <f>Balances_form!$E$5</f>
        <v>0</v>
      </c>
      <c r="N23" s="82">
        <v>-20424.36000000011</v>
      </c>
      <c r="O23" s="9">
        <f t="shared" si="3"/>
        <v>-20424.36000000011</v>
      </c>
      <c r="P23" s="10" t="e">
        <f t="shared" si="4"/>
        <v>#DIV/0!</v>
      </c>
      <c r="Q23" s="11" t="e">
        <f t="shared" si="5"/>
        <v>#DIV/0!</v>
      </c>
      <c r="U23" s="9"/>
    </row>
    <row r="24" spans="1:21">
      <c r="A24" s="83">
        <v>2137</v>
      </c>
      <c r="B24" s="60" t="s">
        <v>231</v>
      </c>
      <c r="C24" s="78">
        <f t="shared" si="2"/>
        <v>129912.44639999999</v>
      </c>
      <c r="D24" s="79">
        <v>1</v>
      </c>
      <c r="E24" s="80">
        <f t="shared" si="0"/>
        <v>0.12</v>
      </c>
      <c r="F24" s="81">
        <v>883677.10000000009</v>
      </c>
      <c r="G24" s="81">
        <v>0</v>
      </c>
      <c r="H24" s="81">
        <v>94716.669999999984</v>
      </c>
      <c r="I24" s="81">
        <v>48795</v>
      </c>
      <c r="J24" s="81">
        <v>40420</v>
      </c>
      <c r="K24" s="81">
        <v>14994.95</v>
      </c>
      <c r="L24" s="82">
        <f t="shared" si="1"/>
        <v>1082603.72</v>
      </c>
      <c r="M24" s="2">
        <f>Balances_form!$E$5</f>
        <v>0</v>
      </c>
      <c r="N24" s="82">
        <v>7440.259999999982</v>
      </c>
      <c r="O24" s="9">
        <f t="shared" si="3"/>
        <v>7440.259999999982</v>
      </c>
      <c r="P24" s="10" t="e">
        <f t="shared" si="4"/>
        <v>#DIV/0!</v>
      </c>
      <c r="Q24" s="11" t="str">
        <f t="shared" si="5"/>
        <v>Within Tolerance</v>
      </c>
      <c r="U24" s="9"/>
    </row>
    <row r="25" spans="1:21">
      <c r="A25" s="83">
        <v>2138</v>
      </c>
      <c r="B25" s="60" t="s">
        <v>232</v>
      </c>
      <c r="C25" s="78">
        <f t="shared" si="2"/>
        <v>198963.35879999996</v>
      </c>
      <c r="D25" s="79">
        <v>1</v>
      </c>
      <c r="E25" s="80">
        <f t="shared" si="0"/>
        <v>0.12</v>
      </c>
      <c r="F25" s="81">
        <v>1471226.38</v>
      </c>
      <c r="G25" s="81">
        <v>0</v>
      </c>
      <c r="H25" s="81">
        <v>35892.429999999993</v>
      </c>
      <c r="I25" s="81">
        <v>74950</v>
      </c>
      <c r="J25" s="81">
        <v>46519.18</v>
      </c>
      <c r="K25" s="81">
        <v>29440</v>
      </c>
      <c r="L25" s="82">
        <f t="shared" si="1"/>
        <v>1658027.9899999998</v>
      </c>
      <c r="M25" s="2">
        <f>Balances_form!$E$5</f>
        <v>0</v>
      </c>
      <c r="N25" s="82">
        <v>-241885.34999999957</v>
      </c>
      <c r="O25" s="9">
        <f t="shared" si="3"/>
        <v>-241885.34999999957</v>
      </c>
      <c r="P25" s="10" t="e">
        <f t="shared" si="4"/>
        <v>#DIV/0!</v>
      </c>
      <c r="Q25" s="11" t="e">
        <f t="shared" si="5"/>
        <v>#DIV/0!</v>
      </c>
      <c r="U25" s="9"/>
    </row>
    <row r="26" spans="1:21">
      <c r="A26" s="83">
        <v>2139</v>
      </c>
      <c r="B26" s="60" t="s">
        <v>233</v>
      </c>
      <c r="C26" s="78">
        <f t="shared" si="2"/>
        <v>280379.9376</v>
      </c>
      <c r="D26" s="79">
        <v>1</v>
      </c>
      <c r="E26" s="80">
        <f t="shared" si="0"/>
        <v>0.12</v>
      </c>
      <c r="F26" s="81">
        <v>2044193.03</v>
      </c>
      <c r="G26" s="81">
        <v>0</v>
      </c>
      <c r="H26" s="81">
        <v>83118.51999999999</v>
      </c>
      <c r="I26" s="81">
        <v>73435</v>
      </c>
      <c r="J26" s="81">
        <v>84692.93</v>
      </c>
      <c r="K26" s="81">
        <v>51060</v>
      </c>
      <c r="L26" s="82">
        <f t="shared" si="1"/>
        <v>2336499.48</v>
      </c>
      <c r="M26" s="2">
        <f>Balances_form!$E$5</f>
        <v>0</v>
      </c>
      <c r="N26" s="82">
        <v>-172087.75000000003</v>
      </c>
      <c r="O26" s="9">
        <f t="shared" si="3"/>
        <v>-172087.75000000003</v>
      </c>
      <c r="P26" s="10" t="e">
        <f t="shared" si="4"/>
        <v>#DIV/0!</v>
      </c>
      <c r="Q26" s="11" t="e">
        <f t="shared" si="5"/>
        <v>#DIV/0!</v>
      </c>
      <c r="U26" s="9"/>
    </row>
    <row r="27" spans="1:21">
      <c r="A27" s="83">
        <v>2142</v>
      </c>
      <c r="B27" s="60" t="s">
        <v>234</v>
      </c>
      <c r="C27" s="78">
        <f t="shared" si="2"/>
        <v>134200.86479999998</v>
      </c>
      <c r="D27" s="79">
        <v>1</v>
      </c>
      <c r="E27" s="80">
        <f t="shared" si="0"/>
        <v>0.12</v>
      </c>
      <c r="F27" s="81">
        <v>925591.11999999988</v>
      </c>
      <c r="G27" s="81">
        <v>0</v>
      </c>
      <c r="H27" s="81">
        <v>64323.979999999996</v>
      </c>
      <c r="I27" s="81">
        <v>51510</v>
      </c>
      <c r="J27" s="81">
        <v>55333.440000000002</v>
      </c>
      <c r="K27" s="81">
        <v>21582</v>
      </c>
      <c r="L27" s="82">
        <f t="shared" si="1"/>
        <v>1118340.5399999998</v>
      </c>
      <c r="M27" s="2">
        <f>Balances_form!$E$5</f>
        <v>0</v>
      </c>
      <c r="N27" s="82">
        <v>-44601.91999999994</v>
      </c>
      <c r="O27" s="9">
        <f t="shared" si="3"/>
        <v>-44601.91999999994</v>
      </c>
      <c r="P27" s="10" t="e">
        <f t="shared" si="4"/>
        <v>#DIV/0!</v>
      </c>
      <c r="Q27" s="11" t="e">
        <f t="shared" si="5"/>
        <v>#DIV/0!</v>
      </c>
      <c r="U27" s="9"/>
    </row>
    <row r="28" spans="1:21">
      <c r="A28" s="83">
        <v>2147</v>
      </c>
      <c r="B28" s="60" t="s">
        <v>235</v>
      </c>
      <c r="C28" s="78">
        <f t="shared" si="2"/>
        <v>95046.267600000006</v>
      </c>
      <c r="D28" s="79">
        <v>1</v>
      </c>
      <c r="E28" s="80">
        <f t="shared" si="0"/>
        <v>0.12</v>
      </c>
      <c r="F28" s="81">
        <v>673738.55</v>
      </c>
      <c r="G28" s="81">
        <v>0</v>
      </c>
      <c r="H28" s="81">
        <v>41731.18</v>
      </c>
      <c r="I28" s="81">
        <v>31815</v>
      </c>
      <c r="J28" s="81">
        <v>26055</v>
      </c>
      <c r="K28" s="81">
        <v>18712.5</v>
      </c>
      <c r="L28" s="82">
        <f t="shared" si="1"/>
        <v>792052.2300000001</v>
      </c>
      <c r="M28" s="2">
        <f>Balances_form!$E$5</f>
        <v>0</v>
      </c>
      <c r="N28" s="82">
        <v>-75572.249999999694</v>
      </c>
      <c r="O28" s="9">
        <f t="shared" si="3"/>
        <v>-75572.249999999694</v>
      </c>
      <c r="P28" s="10" t="e">
        <f t="shared" si="4"/>
        <v>#DIV/0!</v>
      </c>
      <c r="Q28" s="11" t="e">
        <f t="shared" si="5"/>
        <v>#DIV/0!</v>
      </c>
      <c r="U28" s="9"/>
    </row>
    <row r="29" spans="1:21">
      <c r="A29" s="83">
        <v>2148</v>
      </c>
      <c r="B29" s="60" t="s">
        <v>236</v>
      </c>
      <c r="C29" s="78">
        <f t="shared" si="2"/>
        <v>1691.6399999999999</v>
      </c>
      <c r="D29" s="79">
        <v>1</v>
      </c>
      <c r="E29" s="80">
        <f t="shared" si="0"/>
        <v>0.12</v>
      </c>
      <c r="F29" s="81">
        <v>0</v>
      </c>
      <c r="G29" s="81">
        <v>0</v>
      </c>
      <c r="H29" s="81">
        <v>0</v>
      </c>
      <c r="I29" s="81">
        <v>0</v>
      </c>
      <c r="J29" s="81">
        <v>0</v>
      </c>
      <c r="K29" s="81">
        <v>14097</v>
      </c>
      <c r="L29" s="82">
        <f t="shared" si="1"/>
        <v>14097</v>
      </c>
      <c r="M29" s="2">
        <f>Balances_form!$E$5</f>
        <v>0</v>
      </c>
      <c r="N29" s="82">
        <v>0</v>
      </c>
      <c r="O29" s="9">
        <f t="shared" si="3"/>
        <v>0</v>
      </c>
      <c r="P29" s="10" t="e">
        <f t="shared" si="4"/>
        <v>#DIV/0!</v>
      </c>
      <c r="Q29" s="11" t="str">
        <f t="shared" si="5"/>
        <v>Within Tolerance</v>
      </c>
      <c r="U29" s="9"/>
    </row>
    <row r="30" spans="1:21">
      <c r="A30" s="83">
        <v>2155</v>
      </c>
      <c r="B30" s="60" t="s">
        <v>237</v>
      </c>
      <c r="C30" s="78">
        <f t="shared" si="2"/>
        <v>329367.81719999999</v>
      </c>
      <c r="D30" s="79">
        <v>1</v>
      </c>
      <c r="E30" s="80">
        <f t="shared" si="0"/>
        <v>0.12</v>
      </c>
      <c r="F30" s="81">
        <v>2184236.23</v>
      </c>
      <c r="G30" s="81">
        <v>0</v>
      </c>
      <c r="H30" s="81">
        <v>311017.51</v>
      </c>
      <c r="I30" s="81">
        <v>119700</v>
      </c>
      <c r="J30" s="81">
        <v>94535.57</v>
      </c>
      <c r="K30" s="81">
        <v>35242.5</v>
      </c>
      <c r="L30" s="82">
        <f t="shared" si="1"/>
        <v>2744731.81</v>
      </c>
      <c r="M30" s="2">
        <f>Balances_form!$E$5</f>
        <v>0</v>
      </c>
      <c r="N30" s="82">
        <v>-58154.280000000479</v>
      </c>
      <c r="O30" s="9">
        <f t="shared" si="3"/>
        <v>-58154.280000000479</v>
      </c>
      <c r="P30" s="10" t="e">
        <f t="shared" si="4"/>
        <v>#DIV/0!</v>
      </c>
      <c r="Q30" s="11" t="e">
        <f t="shared" si="5"/>
        <v>#DIV/0!</v>
      </c>
      <c r="U30" s="9"/>
    </row>
    <row r="31" spans="1:21">
      <c r="A31" s="83">
        <v>2156</v>
      </c>
      <c r="B31" s="60" t="s">
        <v>238</v>
      </c>
      <c r="C31" s="78">
        <f t="shared" si="2"/>
        <v>287845.70519999997</v>
      </c>
      <c r="D31" s="79">
        <v>1</v>
      </c>
      <c r="E31" s="80">
        <f t="shared" si="0"/>
        <v>0.12</v>
      </c>
      <c r="F31" s="81">
        <v>2108753.29</v>
      </c>
      <c r="G31" s="81">
        <v>0</v>
      </c>
      <c r="H31" s="81">
        <v>65289.920000000013</v>
      </c>
      <c r="I31" s="81">
        <v>68725</v>
      </c>
      <c r="J31" s="81">
        <v>92121</v>
      </c>
      <c r="K31" s="81">
        <v>63825</v>
      </c>
      <c r="L31" s="82">
        <f t="shared" si="1"/>
        <v>2398714.21</v>
      </c>
      <c r="M31" s="2">
        <f>Balances_form!$E$5</f>
        <v>0</v>
      </c>
      <c r="N31" s="82">
        <v>-237475.03000000137</v>
      </c>
      <c r="O31" s="9">
        <f t="shared" si="3"/>
        <v>-237475.03000000137</v>
      </c>
      <c r="P31" s="10" t="e">
        <f t="shared" si="4"/>
        <v>#DIV/0!</v>
      </c>
      <c r="Q31" s="11" t="e">
        <f t="shared" si="5"/>
        <v>#DIV/0!</v>
      </c>
      <c r="U31" s="9"/>
    </row>
    <row r="32" spans="1:21">
      <c r="A32" s="83">
        <v>2161</v>
      </c>
      <c r="B32" s="60" t="s">
        <v>239</v>
      </c>
      <c r="C32" s="78">
        <f t="shared" si="2"/>
        <v>171678.75719999999</v>
      </c>
      <c r="D32" s="79">
        <v>1</v>
      </c>
      <c r="E32" s="80">
        <f t="shared" si="0"/>
        <v>0.12</v>
      </c>
      <c r="F32" s="81">
        <v>1165242.32</v>
      </c>
      <c r="G32" s="81">
        <v>0</v>
      </c>
      <c r="H32" s="81">
        <v>140553.06</v>
      </c>
      <c r="I32" s="81">
        <v>46965</v>
      </c>
      <c r="J32" s="81">
        <v>55315.93</v>
      </c>
      <c r="K32" s="81">
        <v>22580</v>
      </c>
      <c r="L32" s="82">
        <f t="shared" si="1"/>
        <v>1430656.31</v>
      </c>
      <c r="M32" s="2">
        <f>Balances_form!$E$5</f>
        <v>0</v>
      </c>
      <c r="N32" s="82">
        <v>-92999.10000000018</v>
      </c>
      <c r="O32" s="9">
        <f t="shared" si="3"/>
        <v>-92999.10000000018</v>
      </c>
      <c r="P32" s="10" t="e">
        <f t="shared" si="4"/>
        <v>#DIV/0!</v>
      </c>
      <c r="Q32" s="11" t="e">
        <f t="shared" si="5"/>
        <v>#DIV/0!</v>
      </c>
      <c r="U32" s="9"/>
    </row>
    <row r="33" spans="1:21">
      <c r="A33" s="83">
        <v>2163</v>
      </c>
      <c r="B33" s="60" t="s">
        <v>240</v>
      </c>
      <c r="C33" s="78">
        <f t="shared" si="2"/>
        <v>170760.78359999997</v>
      </c>
      <c r="D33" s="79">
        <v>1</v>
      </c>
      <c r="E33" s="80">
        <f t="shared" si="0"/>
        <v>0.12</v>
      </c>
      <c r="F33" s="81">
        <v>1145691.4899999998</v>
      </c>
      <c r="G33" s="81">
        <v>0</v>
      </c>
      <c r="H33" s="81">
        <v>138887.25</v>
      </c>
      <c r="I33" s="81">
        <v>61315</v>
      </c>
      <c r="J33" s="81">
        <v>55406.29</v>
      </c>
      <c r="K33" s="81">
        <v>21706.5</v>
      </c>
      <c r="L33" s="82">
        <f t="shared" si="1"/>
        <v>1423006.5299999998</v>
      </c>
      <c r="M33" s="2">
        <f>Balances_form!$E$5</f>
        <v>0</v>
      </c>
      <c r="N33" s="82">
        <v>-37041.76999999964</v>
      </c>
      <c r="O33" s="9">
        <f t="shared" si="3"/>
        <v>-37041.76999999964</v>
      </c>
      <c r="P33" s="10" t="e">
        <f t="shared" si="4"/>
        <v>#DIV/0!</v>
      </c>
      <c r="Q33" s="11" t="e">
        <f t="shared" si="5"/>
        <v>#DIV/0!</v>
      </c>
      <c r="U33" s="9"/>
    </row>
    <row r="34" spans="1:21">
      <c r="A34" s="83">
        <v>2164</v>
      </c>
      <c r="B34" s="60" t="s">
        <v>241</v>
      </c>
      <c r="C34" s="78">
        <f t="shared" si="2"/>
        <v>152580.15119999999</v>
      </c>
      <c r="D34" s="79">
        <v>1</v>
      </c>
      <c r="E34" s="80">
        <f t="shared" si="0"/>
        <v>0.12</v>
      </c>
      <c r="F34" s="81">
        <v>1081426.99</v>
      </c>
      <c r="G34" s="81">
        <v>0</v>
      </c>
      <c r="H34" s="81">
        <v>55370.380000000005</v>
      </c>
      <c r="I34" s="81">
        <v>61715</v>
      </c>
      <c r="J34" s="81">
        <v>52654.64</v>
      </c>
      <c r="K34" s="81">
        <v>20334.25</v>
      </c>
      <c r="L34" s="82">
        <f t="shared" si="1"/>
        <v>1271501.26</v>
      </c>
      <c r="M34" s="2">
        <f>Balances_form!$E$5</f>
        <v>0</v>
      </c>
      <c r="N34" s="82">
        <v>-66349.409999999945</v>
      </c>
      <c r="O34" s="9">
        <f t="shared" si="3"/>
        <v>-66349.409999999945</v>
      </c>
      <c r="P34" s="10" t="e">
        <f t="shared" si="4"/>
        <v>#DIV/0!</v>
      </c>
      <c r="Q34" s="11" t="e">
        <f t="shared" si="5"/>
        <v>#DIV/0!</v>
      </c>
      <c r="U34" s="9"/>
    </row>
    <row r="35" spans="1:21">
      <c r="A35" s="83">
        <v>2165</v>
      </c>
      <c r="B35" s="60" t="s">
        <v>242</v>
      </c>
      <c r="C35" s="78">
        <f t="shared" si="2"/>
        <v>296257.81799999997</v>
      </c>
      <c r="D35" s="79">
        <v>1</v>
      </c>
      <c r="E35" s="80">
        <f t="shared" si="0"/>
        <v>0.12</v>
      </c>
      <c r="F35" s="81">
        <v>2019676.07</v>
      </c>
      <c r="G35" s="81">
        <v>0</v>
      </c>
      <c r="H35" s="81">
        <v>153136.79</v>
      </c>
      <c r="I35" s="81">
        <v>151530</v>
      </c>
      <c r="J35" s="81">
        <v>86197.290000000008</v>
      </c>
      <c r="K35" s="81">
        <v>58275</v>
      </c>
      <c r="L35" s="82">
        <f t="shared" si="1"/>
        <v>2468815.15</v>
      </c>
      <c r="M35" s="2">
        <f>Balances_form!$E$5</f>
        <v>0</v>
      </c>
      <c r="N35" s="82">
        <v>-20960.649999999572</v>
      </c>
      <c r="O35" s="9">
        <f t="shared" si="3"/>
        <v>-20960.649999999572</v>
      </c>
      <c r="P35" s="10" t="e">
        <f t="shared" si="4"/>
        <v>#DIV/0!</v>
      </c>
      <c r="Q35" s="11" t="e">
        <f t="shared" si="5"/>
        <v>#DIV/0!</v>
      </c>
      <c r="U35" s="9"/>
    </row>
    <row r="36" spans="1:21">
      <c r="A36" s="83">
        <v>2166</v>
      </c>
      <c r="B36" s="60" t="s">
        <v>243</v>
      </c>
      <c r="C36" s="78">
        <f t="shared" si="2"/>
        <v>99497.812799999985</v>
      </c>
      <c r="D36" s="79">
        <v>1</v>
      </c>
      <c r="E36" s="80">
        <f t="shared" si="0"/>
        <v>0.12</v>
      </c>
      <c r="F36" s="81">
        <v>661687.82999999996</v>
      </c>
      <c r="G36" s="81">
        <v>0</v>
      </c>
      <c r="H36" s="81">
        <v>75263.109999999986</v>
      </c>
      <c r="I36" s="81">
        <v>41220</v>
      </c>
      <c r="J36" s="81">
        <v>35259</v>
      </c>
      <c r="K36" s="81">
        <v>15718.5</v>
      </c>
      <c r="L36" s="82">
        <f t="shared" si="1"/>
        <v>829148.44</v>
      </c>
      <c r="M36" s="2">
        <f>Balances_form!$E$5</f>
        <v>0</v>
      </c>
      <c r="N36" s="82">
        <v>-97840.889999999941</v>
      </c>
      <c r="O36" s="9">
        <f t="shared" si="3"/>
        <v>-97840.889999999941</v>
      </c>
      <c r="P36" s="10" t="e">
        <f t="shared" si="4"/>
        <v>#DIV/0!</v>
      </c>
      <c r="Q36" s="11" t="e">
        <f t="shared" si="5"/>
        <v>#DIV/0!</v>
      </c>
      <c r="U36" s="9"/>
    </row>
    <row r="37" spans="1:21">
      <c r="A37" s="83">
        <v>2167</v>
      </c>
      <c r="B37" s="60" t="s">
        <v>244</v>
      </c>
      <c r="C37" s="78">
        <f t="shared" si="2"/>
        <v>3834.7559999999999</v>
      </c>
      <c r="D37" s="79">
        <v>1</v>
      </c>
      <c r="E37" s="80">
        <f t="shared" si="0"/>
        <v>0.12</v>
      </c>
      <c r="F37" s="81">
        <v>0</v>
      </c>
      <c r="G37" s="81">
        <v>0</v>
      </c>
      <c r="H37" s="81">
        <v>0</v>
      </c>
      <c r="I37" s="81">
        <v>0</v>
      </c>
      <c r="J37" s="81">
        <v>0</v>
      </c>
      <c r="K37" s="81">
        <v>31956.3</v>
      </c>
      <c r="L37" s="82">
        <f t="shared" si="1"/>
        <v>31956.3</v>
      </c>
      <c r="M37" s="2">
        <f>Balances_form!$E$5</f>
        <v>0</v>
      </c>
      <c r="N37" s="82">
        <v>0</v>
      </c>
      <c r="O37" s="9">
        <f t="shared" si="3"/>
        <v>0</v>
      </c>
      <c r="P37" s="10" t="e">
        <f t="shared" si="4"/>
        <v>#DIV/0!</v>
      </c>
      <c r="Q37" s="11" t="str">
        <f t="shared" si="5"/>
        <v>Within Tolerance</v>
      </c>
      <c r="U37" s="9"/>
    </row>
    <row r="38" spans="1:21">
      <c r="A38" s="83">
        <v>2168</v>
      </c>
      <c r="B38" s="60" t="s">
        <v>245</v>
      </c>
      <c r="C38" s="78">
        <f t="shared" si="2"/>
        <v>162978.3216</v>
      </c>
      <c r="D38" s="79">
        <v>1</v>
      </c>
      <c r="E38" s="80">
        <f t="shared" si="0"/>
        <v>0.12</v>
      </c>
      <c r="F38" s="81">
        <v>1134431.23</v>
      </c>
      <c r="G38" s="81">
        <v>0</v>
      </c>
      <c r="H38" s="81">
        <v>62962.95</v>
      </c>
      <c r="I38" s="81">
        <v>96560</v>
      </c>
      <c r="J38" s="81">
        <v>39498</v>
      </c>
      <c r="K38" s="81">
        <v>24700.5</v>
      </c>
      <c r="L38" s="82">
        <f t="shared" si="1"/>
        <v>1358152.68</v>
      </c>
      <c r="M38" s="2">
        <f>Balances_form!$E$5</f>
        <v>0</v>
      </c>
      <c r="N38" s="82">
        <v>-120565.66000000047</v>
      </c>
      <c r="O38" s="9">
        <f t="shared" si="3"/>
        <v>-120565.66000000047</v>
      </c>
      <c r="P38" s="10" t="e">
        <f t="shared" si="4"/>
        <v>#DIV/0!</v>
      </c>
      <c r="Q38" s="11" t="e">
        <f t="shared" si="5"/>
        <v>#DIV/0!</v>
      </c>
      <c r="U38" s="9"/>
    </row>
    <row r="39" spans="1:21">
      <c r="A39" s="83">
        <v>2169</v>
      </c>
      <c r="B39" s="60" t="s">
        <v>246</v>
      </c>
      <c r="C39" s="78">
        <f t="shared" si="2"/>
        <v>74446.424400000004</v>
      </c>
      <c r="D39" s="79">
        <v>1</v>
      </c>
      <c r="E39" s="80">
        <f t="shared" si="0"/>
        <v>0.12</v>
      </c>
      <c r="F39" s="81">
        <v>488229.31</v>
      </c>
      <c r="G39" s="81">
        <v>0</v>
      </c>
      <c r="H39" s="81">
        <v>70647.56</v>
      </c>
      <c r="I39" s="81">
        <v>36660</v>
      </c>
      <c r="J39" s="81">
        <v>22505</v>
      </c>
      <c r="K39" s="81">
        <v>2345</v>
      </c>
      <c r="L39" s="82">
        <f t="shared" si="1"/>
        <v>620386.87</v>
      </c>
      <c r="M39" s="2">
        <f>Balances_form!$E$5</f>
        <v>0</v>
      </c>
      <c r="N39" s="82">
        <v>-61712.029999999853</v>
      </c>
      <c r="O39" s="9">
        <f t="shared" si="3"/>
        <v>-61712.029999999853</v>
      </c>
      <c r="P39" s="10" t="e">
        <f t="shared" si="4"/>
        <v>#DIV/0!</v>
      </c>
      <c r="Q39" s="11" t="e">
        <f t="shared" si="5"/>
        <v>#DIV/0!</v>
      </c>
      <c r="U39" s="9"/>
    </row>
    <row r="40" spans="1:21">
      <c r="A40" s="83">
        <v>2171</v>
      </c>
      <c r="B40" s="60" t="s">
        <v>247</v>
      </c>
      <c r="C40" s="78">
        <f t="shared" si="2"/>
        <v>328166.33400000003</v>
      </c>
      <c r="D40" s="79">
        <v>1</v>
      </c>
      <c r="E40" s="80">
        <f t="shared" si="0"/>
        <v>0.12</v>
      </c>
      <c r="F40" s="81">
        <v>2141510.54</v>
      </c>
      <c r="G40" s="81">
        <v>0</v>
      </c>
      <c r="H40" s="81">
        <v>281161.69</v>
      </c>
      <c r="I40" s="81">
        <v>155180</v>
      </c>
      <c r="J40" s="81">
        <v>90819.22</v>
      </c>
      <c r="K40" s="81">
        <v>66048</v>
      </c>
      <c r="L40" s="82">
        <f t="shared" si="1"/>
        <v>2734719.45</v>
      </c>
      <c r="M40" s="2">
        <f>Balances_form!$E$5</f>
        <v>0</v>
      </c>
      <c r="N40" s="82">
        <v>-142675.18999999861</v>
      </c>
      <c r="O40" s="9">
        <f t="shared" si="3"/>
        <v>-142675.18999999861</v>
      </c>
      <c r="P40" s="10" t="e">
        <f t="shared" si="4"/>
        <v>#DIV/0!</v>
      </c>
      <c r="Q40" s="11" t="e">
        <f t="shared" si="5"/>
        <v>#DIV/0!</v>
      </c>
      <c r="U40" s="9"/>
    </row>
    <row r="41" spans="1:21">
      <c r="A41" s="83">
        <v>2175</v>
      </c>
      <c r="B41" s="60" t="s">
        <v>248</v>
      </c>
      <c r="C41" s="78">
        <f t="shared" si="2"/>
        <v>290507.15880000003</v>
      </c>
      <c r="D41" s="79">
        <v>1</v>
      </c>
      <c r="E41" s="80">
        <f t="shared" si="0"/>
        <v>0.12</v>
      </c>
      <c r="F41" s="81">
        <v>1948382.23</v>
      </c>
      <c r="G41" s="81">
        <v>0</v>
      </c>
      <c r="H41" s="81">
        <v>234552.47</v>
      </c>
      <c r="I41" s="81">
        <v>187640</v>
      </c>
      <c r="J41" s="81">
        <v>20903.29</v>
      </c>
      <c r="K41" s="81">
        <v>29415</v>
      </c>
      <c r="L41" s="82">
        <f t="shared" si="1"/>
        <v>2420892.9900000002</v>
      </c>
      <c r="M41" s="2">
        <f>Balances_form!$E$5</f>
        <v>0</v>
      </c>
      <c r="N41" s="82">
        <v>-185605.96000000037</v>
      </c>
      <c r="O41" s="9">
        <f t="shared" si="3"/>
        <v>-185605.96000000037</v>
      </c>
      <c r="P41" s="10" t="e">
        <f t="shared" si="4"/>
        <v>#DIV/0!</v>
      </c>
      <c r="Q41" s="11" t="e">
        <f t="shared" si="5"/>
        <v>#DIV/0!</v>
      </c>
      <c r="U41" s="9"/>
    </row>
    <row r="42" spans="1:21">
      <c r="A42" s="83">
        <v>2176</v>
      </c>
      <c r="B42" s="60" t="s">
        <v>249</v>
      </c>
      <c r="C42" s="78">
        <f t="shared" si="2"/>
        <v>237490.71959999998</v>
      </c>
      <c r="D42" s="79">
        <v>1</v>
      </c>
      <c r="E42" s="80">
        <f t="shared" si="0"/>
        <v>0.12</v>
      </c>
      <c r="F42" s="81">
        <v>1697883.71</v>
      </c>
      <c r="G42" s="81">
        <v>0</v>
      </c>
      <c r="H42" s="81">
        <v>61731.4</v>
      </c>
      <c r="I42" s="81">
        <v>125680</v>
      </c>
      <c r="J42" s="81">
        <v>50504.22</v>
      </c>
      <c r="K42" s="81">
        <v>43290</v>
      </c>
      <c r="L42" s="82">
        <f t="shared" si="1"/>
        <v>1979089.3299999998</v>
      </c>
      <c r="M42" s="2">
        <f>Balances_form!$E$5</f>
        <v>0</v>
      </c>
      <c r="N42" s="82">
        <v>-119359.42999999991</v>
      </c>
      <c r="O42" s="9">
        <f t="shared" si="3"/>
        <v>-119359.42999999991</v>
      </c>
      <c r="P42" s="10" t="e">
        <f t="shared" si="4"/>
        <v>#DIV/0!</v>
      </c>
      <c r="Q42" s="11" t="e">
        <f t="shared" si="5"/>
        <v>#DIV/0!</v>
      </c>
      <c r="U42" s="9"/>
    </row>
    <row r="43" spans="1:21">
      <c r="A43" s="83">
        <v>2185</v>
      </c>
      <c r="B43" s="60" t="s">
        <v>250</v>
      </c>
      <c r="C43" s="78">
        <f t="shared" si="2"/>
        <v>153430.93559999997</v>
      </c>
      <c r="D43" s="79">
        <v>1</v>
      </c>
      <c r="E43" s="80">
        <f t="shared" si="0"/>
        <v>0.12</v>
      </c>
      <c r="F43" s="81">
        <v>1049307.5099999998</v>
      </c>
      <c r="G43" s="81">
        <v>0</v>
      </c>
      <c r="H43" s="81">
        <v>93840.62</v>
      </c>
      <c r="I43" s="81">
        <v>46165</v>
      </c>
      <c r="J43" s="81">
        <v>54313</v>
      </c>
      <c r="K43" s="81">
        <v>34965</v>
      </c>
      <c r="L43" s="82">
        <f t="shared" si="1"/>
        <v>1278591.1299999999</v>
      </c>
      <c r="M43" s="2">
        <f>Balances_form!$E$5</f>
        <v>0</v>
      </c>
      <c r="N43" s="82">
        <v>-19292.79999999969</v>
      </c>
      <c r="O43" s="9">
        <f t="shared" si="3"/>
        <v>-19292.79999999969</v>
      </c>
      <c r="P43" s="10" t="e">
        <f t="shared" si="4"/>
        <v>#DIV/0!</v>
      </c>
      <c r="Q43" s="11" t="e">
        <f t="shared" si="5"/>
        <v>#DIV/0!</v>
      </c>
      <c r="U43" s="9"/>
    </row>
    <row r="44" spans="1:21">
      <c r="A44" s="83">
        <v>2187</v>
      </c>
      <c r="B44" s="60" t="s">
        <v>251</v>
      </c>
      <c r="C44" s="78">
        <f t="shared" si="2"/>
        <v>150263.62679999997</v>
      </c>
      <c r="D44" s="79">
        <v>1</v>
      </c>
      <c r="E44" s="80">
        <f t="shared" si="0"/>
        <v>0.12</v>
      </c>
      <c r="F44" s="81">
        <v>1034436.7499999999</v>
      </c>
      <c r="G44" s="81">
        <v>0</v>
      </c>
      <c r="H44" s="81">
        <v>100341.14</v>
      </c>
      <c r="I44" s="81">
        <v>30615</v>
      </c>
      <c r="J44" s="81">
        <v>54614</v>
      </c>
      <c r="K44" s="81">
        <v>32190</v>
      </c>
      <c r="L44" s="82">
        <f t="shared" si="1"/>
        <v>1252196.8899999999</v>
      </c>
      <c r="M44" s="2">
        <f>Balances_form!$E$5</f>
        <v>0</v>
      </c>
      <c r="N44" s="82">
        <v>-14387.859999999859</v>
      </c>
      <c r="O44" s="9">
        <f t="shared" si="3"/>
        <v>-14387.859999999859</v>
      </c>
      <c r="P44" s="10" t="e">
        <f t="shared" si="4"/>
        <v>#DIV/0!</v>
      </c>
      <c r="Q44" s="11" t="e">
        <f t="shared" si="5"/>
        <v>#DIV/0!</v>
      </c>
      <c r="U44" s="9"/>
    </row>
    <row r="45" spans="1:21">
      <c r="A45" s="83">
        <v>2188</v>
      </c>
      <c r="B45" s="60" t="s">
        <v>252</v>
      </c>
      <c r="C45" s="78">
        <f t="shared" si="2"/>
        <v>76686.337200000009</v>
      </c>
      <c r="D45" s="79">
        <v>1</v>
      </c>
      <c r="E45" s="80">
        <f t="shared" si="0"/>
        <v>0.12</v>
      </c>
      <c r="F45" s="81">
        <v>538221.47000000009</v>
      </c>
      <c r="G45" s="81">
        <v>0</v>
      </c>
      <c r="H45" s="81">
        <v>27405.360000000001</v>
      </c>
      <c r="I45" s="81">
        <v>19695</v>
      </c>
      <c r="J45" s="81">
        <v>38511.479999999996</v>
      </c>
      <c r="K45" s="81">
        <v>15219.5</v>
      </c>
      <c r="L45" s="82">
        <f t="shared" si="1"/>
        <v>639052.81000000006</v>
      </c>
      <c r="M45" s="2">
        <f>Balances_form!$E$5</f>
        <v>0</v>
      </c>
      <c r="N45" s="82">
        <v>-32353.579999999885</v>
      </c>
      <c r="O45" s="9">
        <f t="shared" si="3"/>
        <v>-32353.579999999885</v>
      </c>
      <c r="P45" s="10" t="e">
        <f t="shared" si="4"/>
        <v>#DIV/0!</v>
      </c>
      <c r="Q45" s="11" t="e">
        <f t="shared" si="5"/>
        <v>#DIV/0!</v>
      </c>
      <c r="U45" s="9"/>
    </row>
    <row r="46" spans="1:21">
      <c r="A46" s="83">
        <v>2189</v>
      </c>
      <c r="B46" s="60" t="s">
        <v>253</v>
      </c>
      <c r="C46" s="78">
        <f t="shared" si="2"/>
        <v>159383.4804</v>
      </c>
      <c r="D46" s="79">
        <v>1</v>
      </c>
      <c r="E46" s="80">
        <f t="shared" si="0"/>
        <v>0.12</v>
      </c>
      <c r="F46" s="81">
        <v>1089650.6100000001</v>
      </c>
      <c r="G46" s="81">
        <v>0</v>
      </c>
      <c r="H46" s="81">
        <v>105668.13</v>
      </c>
      <c r="I46" s="81">
        <v>35195</v>
      </c>
      <c r="J46" s="81">
        <v>61051.93</v>
      </c>
      <c r="K46" s="81">
        <v>36630</v>
      </c>
      <c r="L46" s="82">
        <f t="shared" si="1"/>
        <v>1328195.6700000002</v>
      </c>
      <c r="M46" s="2">
        <f>Balances_form!$E$5</f>
        <v>0</v>
      </c>
      <c r="N46" s="82">
        <v>-35627.130000000157</v>
      </c>
      <c r="O46" s="9">
        <f t="shared" si="3"/>
        <v>-35627.130000000157</v>
      </c>
      <c r="P46" s="10" t="e">
        <f t="shared" si="4"/>
        <v>#DIV/0!</v>
      </c>
      <c r="Q46" s="11" t="e">
        <f t="shared" si="5"/>
        <v>#DIV/0!</v>
      </c>
      <c r="U46" s="9"/>
    </row>
    <row r="47" spans="1:21">
      <c r="A47" s="83">
        <v>2190</v>
      </c>
      <c r="B47" s="60" t="s">
        <v>254</v>
      </c>
      <c r="C47" s="78">
        <f t="shared" si="2"/>
        <v>72921.522000000012</v>
      </c>
      <c r="D47" s="79">
        <v>1</v>
      </c>
      <c r="E47" s="80">
        <f t="shared" si="0"/>
        <v>0.12</v>
      </c>
      <c r="F47" s="81">
        <v>459785.13000000006</v>
      </c>
      <c r="G47" s="81">
        <v>0</v>
      </c>
      <c r="H47" s="81">
        <v>102950.55</v>
      </c>
      <c r="I47" s="81">
        <v>6060</v>
      </c>
      <c r="J47" s="81">
        <v>30650.17</v>
      </c>
      <c r="K47" s="81">
        <v>8233.5</v>
      </c>
      <c r="L47" s="82">
        <f t="shared" si="1"/>
        <v>607679.35000000009</v>
      </c>
      <c r="M47" s="2">
        <f>Balances_form!$E$5</f>
        <v>0</v>
      </c>
      <c r="N47" s="82">
        <v>-74589.709999999919</v>
      </c>
      <c r="O47" s="9">
        <f t="shared" si="3"/>
        <v>-74589.709999999919</v>
      </c>
      <c r="P47" s="10" t="e">
        <f t="shared" si="4"/>
        <v>#DIV/0!</v>
      </c>
      <c r="Q47" s="11" t="e">
        <f t="shared" si="5"/>
        <v>#DIV/0!</v>
      </c>
      <c r="U47" s="9"/>
    </row>
    <row r="48" spans="1:21">
      <c r="A48" s="83">
        <v>2192</v>
      </c>
      <c r="B48" s="60" t="s">
        <v>255</v>
      </c>
      <c r="C48" s="78">
        <f t="shared" si="2"/>
        <v>283904.11079999997</v>
      </c>
      <c r="D48" s="79">
        <v>1</v>
      </c>
      <c r="E48" s="80">
        <f t="shared" si="0"/>
        <v>0.12</v>
      </c>
      <c r="F48" s="81">
        <v>1953221.33</v>
      </c>
      <c r="G48" s="81">
        <v>0</v>
      </c>
      <c r="H48" s="81">
        <v>140996.4</v>
      </c>
      <c r="I48" s="81">
        <v>138180</v>
      </c>
      <c r="J48" s="81">
        <v>90179.86</v>
      </c>
      <c r="K48" s="81">
        <v>43290</v>
      </c>
      <c r="L48" s="82">
        <f t="shared" si="1"/>
        <v>2365867.59</v>
      </c>
      <c r="M48" s="2">
        <f>Balances_form!$E$5</f>
        <v>0</v>
      </c>
      <c r="N48" s="82">
        <v>-26040.089999999109</v>
      </c>
      <c r="O48" s="9">
        <f t="shared" si="3"/>
        <v>-26040.089999999109</v>
      </c>
      <c r="P48" s="10" t="e">
        <f t="shared" si="4"/>
        <v>#DIV/0!</v>
      </c>
      <c r="Q48" s="11" t="e">
        <f t="shared" si="5"/>
        <v>#DIV/0!</v>
      </c>
      <c r="U48" s="9"/>
    </row>
    <row r="49" spans="1:21">
      <c r="A49" s="83">
        <v>2193</v>
      </c>
      <c r="B49" s="60" t="s">
        <v>256</v>
      </c>
      <c r="C49" s="78">
        <f t="shared" si="2"/>
        <v>157476.10799999998</v>
      </c>
      <c r="D49" s="79">
        <v>1</v>
      </c>
      <c r="E49" s="80">
        <f t="shared" si="0"/>
        <v>0.12</v>
      </c>
      <c r="F49" s="81">
        <v>1125804.68</v>
      </c>
      <c r="G49" s="81">
        <v>0</v>
      </c>
      <c r="H49" s="81">
        <v>38362</v>
      </c>
      <c r="I49" s="81">
        <v>82525</v>
      </c>
      <c r="J49" s="81">
        <v>45774.22</v>
      </c>
      <c r="K49" s="81">
        <v>19835</v>
      </c>
      <c r="L49" s="82">
        <f t="shared" si="1"/>
        <v>1312300.8999999999</v>
      </c>
      <c r="M49" s="2">
        <f>Balances_form!$E$5</f>
        <v>0</v>
      </c>
      <c r="N49" s="82">
        <v>-79812.64000000013</v>
      </c>
      <c r="O49" s="9">
        <f t="shared" si="3"/>
        <v>-79812.64000000013</v>
      </c>
      <c r="P49" s="10" t="e">
        <f t="shared" si="4"/>
        <v>#DIV/0!</v>
      </c>
      <c r="Q49" s="11" t="e">
        <f t="shared" si="5"/>
        <v>#DIV/0!</v>
      </c>
      <c r="U49" s="9"/>
    </row>
    <row r="50" spans="1:21">
      <c r="A50" s="83">
        <v>2226</v>
      </c>
      <c r="B50" s="60" t="s">
        <v>257</v>
      </c>
      <c r="C50" s="78">
        <f t="shared" si="2"/>
        <v>96281.741999999998</v>
      </c>
      <c r="D50" s="79">
        <v>1</v>
      </c>
      <c r="E50" s="80">
        <f t="shared" si="0"/>
        <v>0.12</v>
      </c>
      <c r="F50" s="81">
        <v>681482.67999999993</v>
      </c>
      <c r="G50" s="81">
        <v>0</v>
      </c>
      <c r="H50" s="81">
        <v>40103.379999999997</v>
      </c>
      <c r="I50" s="81">
        <v>31415</v>
      </c>
      <c r="J50" s="81">
        <v>35125.29</v>
      </c>
      <c r="K50" s="81">
        <v>14221.5</v>
      </c>
      <c r="L50" s="82">
        <f t="shared" si="1"/>
        <v>802347.85</v>
      </c>
      <c r="M50" s="2">
        <f>Balances_form!$E$5</f>
        <v>0</v>
      </c>
      <c r="N50" s="82">
        <v>-7799.8599999999205</v>
      </c>
      <c r="O50" s="9">
        <f t="shared" si="3"/>
        <v>-7799.8599999999205</v>
      </c>
      <c r="P50" s="10" t="e">
        <f t="shared" si="4"/>
        <v>#DIV/0!</v>
      </c>
      <c r="Q50" s="11" t="str">
        <f t="shared" si="5"/>
        <v>Within Tolerance</v>
      </c>
      <c r="U50" s="9"/>
    </row>
    <row r="51" spans="1:21">
      <c r="A51" s="83">
        <v>2227</v>
      </c>
      <c r="B51" s="60" t="s">
        <v>258</v>
      </c>
      <c r="C51" s="78">
        <f t="shared" si="2"/>
        <v>139065.78719999996</v>
      </c>
      <c r="D51" s="79">
        <v>1</v>
      </c>
      <c r="E51" s="80">
        <f t="shared" si="0"/>
        <v>0.12</v>
      </c>
      <c r="F51" s="81">
        <v>1045511.8399999999</v>
      </c>
      <c r="G51" s="81">
        <v>0</v>
      </c>
      <c r="H51" s="81">
        <v>10679.97</v>
      </c>
      <c r="I51" s="81">
        <v>32845</v>
      </c>
      <c r="J51" s="81">
        <v>54750</v>
      </c>
      <c r="K51" s="81">
        <v>15094.75</v>
      </c>
      <c r="L51" s="82">
        <f t="shared" si="1"/>
        <v>1158881.5599999998</v>
      </c>
      <c r="M51" s="2">
        <f>Balances_form!$E$5</f>
        <v>0</v>
      </c>
      <c r="N51" s="82">
        <v>-72829.029999999839</v>
      </c>
      <c r="O51" s="9">
        <f t="shared" si="3"/>
        <v>-72829.029999999839</v>
      </c>
      <c r="P51" s="10" t="e">
        <f t="shared" si="4"/>
        <v>#DIV/0!</v>
      </c>
      <c r="Q51" s="11" t="e">
        <f t="shared" si="5"/>
        <v>#DIV/0!</v>
      </c>
      <c r="U51" s="9"/>
    </row>
    <row r="52" spans="1:21">
      <c r="A52" s="83">
        <v>2228</v>
      </c>
      <c r="B52" s="60" t="s">
        <v>259</v>
      </c>
      <c r="C52" s="78">
        <f t="shared" si="2"/>
        <v>300608.32199999999</v>
      </c>
      <c r="D52" s="79">
        <v>1</v>
      </c>
      <c r="E52" s="80">
        <f t="shared" si="0"/>
        <v>0.12</v>
      </c>
      <c r="F52" s="81">
        <v>2158290.79</v>
      </c>
      <c r="G52" s="81">
        <v>0</v>
      </c>
      <c r="H52" s="81">
        <v>56103.33</v>
      </c>
      <c r="I52" s="81">
        <v>138123.29999999999</v>
      </c>
      <c r="J52" s="81">
        <v>98716.93</v>
      </c>
      <c r="K52" s="81">
        <v>53835</v>
      </c>
      <c r="L52" s="82">
        <f t="shared" si="1"/>
        <v>2505069.35</v>
      </c>
      <c r="M52" s="2">
        <f>Balances_form!$E$5</f>
        <v>0</v>
      </c>
      <c r="N52" s="82">
        <v>-100684.90000000005</v>
      </c>
      <c r="O52" s="9">
        <f t="shared" si="3"/>
        <v>-100684.90000000005</v>
      </c>
      <c r="P52" s="10" t="e">
        <f t="shared" si="4"/>
        <v>#DIV/0!</v>
      </c>
      <c r="Q52" s="11" t="e">
        <f t="shared" si="5"/>
        <v>#DIV/0!</v>
      </c>
      <c r="U52" s="9"/>
    </row>
    <row r="53" spans="1:21">
      <c r="A53" s="83">
        <v>2231</v>
      </c>
      <c r="B53" s="60" t="s">
        <v>260</v>
      </c>
      <c r="C53" s="78">
        <f t="shared" si="2"/>
        <v>154395.32880000002</v>
      </c>
      <c r="D53" s="79">
        <v>1</v>
      </c>
      <c r="E53" s="80">
        <f t="shared" si="0"/>
        <v>0.12</v>
      </c>
      <c r="F53" s="81">
        <v>1052273.2000000002</v>
      </c>
      <c r="G53" s="81">
        <v>0</v>
      </c>
      <c r="H53" s="81">
        <v>109793.75</v>
      </c>
      <c r="I53" s="81">
        <v>42555</v>
      </c>
      <c r="J53" s="81">
        <v>50648.29</v>
      </c>
      <c r="K53" s="81">
        <v>31357.5</v>
      </c>
      <c r="L53" s="82">
        <f t="shared" ref="L53:L105" si="6">SUM(F53:K53)</f>
        <v>1286627.7400000002</v>
      </c>
      <c r="M53" s="2">
        <f>Balances_form!$E$5</f>
        <v>0</v>
      </c>
      <c r="N53" s="82">
        <v>-189769.26999999973</v>
      </c>
      <c r="O53" s="9">
        <f t="shared" si="3"/>
        <v>-189769.26999999973</v>
      </c>
      <c r="P53" s="10" t="e">
        <f t="shared" si="4"/>
        <v>#DIV/0!</v>
      </c>
      <c r="Q53" s="11" t="e">
        <f t="shared" si="5"/>
        <v>#DIV/0!</v>
      </c>
      <c r="U53" s="9"/>
    </row>
    <row r="54" spans="1:21">
      <c r="A54" s="83">
        <v>2239</v>
      </c>
      <c r="B54" s="60" t="s">
        <v>261</v>
      </c>
      <c r="C54" s="78">
        <f t="shared" si="2"/>
        <v>107147.87640000001</v>
      </c>
      <c r="D54" s="79">
        <v>1</v>
      </c>
      <c r="E54" s="80">
        <f t="shared" si="0"/>
        <v>0.12</v>
      </c>
      <c r="F54" s="81">
        <v>758433.46000000008</v>
      </c>
      <c r="G54" s="81">
        <v>0</v>
      </c>
      <c r="H54" s="81">
        <v>63444.51</v>
      </c>
      <c r="I54" s="81">
        <v>24955</v>
      </c>
      <c r="J54" s="81">
        <v>40203</v>
      </c>
      <c r="K54" s="81">
        <v>5863</v>
      </c>
      <c r="L54" s="82">
        <f t="shared" si="6"/>
        <v>892898.97000000009</v>
      </c>
      <c r="M54" s="2">
        <f>Balances_form!$E$5</f>
        <v>0</v>
      </c>
      <c r="N54" s="82">
        <v>-73155.159999999785</v>
      </c>
      <c r="O54" s="9">
        <f t="shared" ref="O54:O110" si="7">N54-M54</f>
        <v>-73155.159999999785</v>
      </c>
      <c r="P54" s="10" t="e">
        <f t="shared" ref="P54:P110" si="8">O54/M54</f>
        <v>#DIV/0!</v>
      </c>
      <c r="Q54" s="11" t="e">
        <f t="shared" ref="Q54:Q110" si="9">IF(AND(O54&lt;$Q$2,O54&gt;-$Q$2),"Within Tolerance",IF(AND(P54&lt;$R$2,P54&gt;-$R$2),"Within Tolerance",O54))</f>
        <v>#DIV/0!</v>
      </c>
      <c r="U54" s="9"/>
    </row>
    <row r="55" spans="1:21">
      <c r="A55" s="83">
        <v>2245</v>
      </c>
      <c r="B55" s="60" t="s">
        <v>262</v>
      </c>
      <c r="C55" s="78">
        <f t="shared" si="2"/>
        <v>387160.22880000004</v>
      </c>
      <c r="D55" s="79">
        <v>1</v>
      </c>
      <c r="E55" s="80">
        <f t="shared" si="0"/>
        <v>0.12</v>
      </c>
      <c r="F55" s="81">
        <v>2605729.7200000002</v>
      </c>
      <c r="G55" s="81">
        <v>0</v>
      </c>
      <c r="H55" s="81">
        <v>84630.04</v>
      </c>
      <c r="I55" s="81">
        <v>382556.55</v>
      </c>
      <c r="J55" s="81">
        <v>40753.93</v>
      </c>
      <c r="K55" s="81">
        <v>112665</v>
      </c>
      <c r="L55" s="82">
        <f t="shared" si="6"/>
        <v>3226335.24</v>
      </c>
      <c r="M55" s="2">
        <f>Balances_form!$E$5</f>
        <v>0</v>
      </c>
      <c r="N55" s="82">
        <v>-130576.24000000092</v>
      </c>
      <c r="O55" s="9">
        <f t="shared" si="7"/>
        <v>-130576.24000000092</v>
      </c>
      <c r="P55" s="10" t="e">
        <f t="shared" si="8"/>
        <v>#DIV/0!</v>
      </c>
      <c r="Q55" s="11" t="e">
        <f t="shared" si="9"/>
        <v>#DIV/0!</v>
      </c>
      <c r="U55" s="9"/>
    </row>
    <row r="56" spans="1:21">
      <c r="A56" s="83">
        <v>2254</v>
      </c>
      <c r="B56" s="60" t="s">
        <v>263</v>
      </c>
      <c r="C56" s="78">
        <f t="shared" si="2"/>
        <v>178229.06040000002</v>
      </c>
      <c r="D56" s="79">
        <v>1</v>
      </c>
      <c r="E56" s="80">
        <f t="shared" si="0"/>
        <v>0.12</v>
      </c>
      <c r="F56" s="81">
        <v>1231451.31</v>
      </c>
      <c r="G56" s="81">
        <v>0</v>
      </c>
      <c r="H56" s="81">
        <v>79591.86</v>
      </c>
      <c r="I56" s="81">
        <v>105435</v>
      </c>
      <c r="J56" s="81">
        <v>33244</v>
      </c>
      <c r="K56" s="81">
        <v>35520</v>
      </c>
      <c r="L56" s="82">
        <f t="shared" si="6"/>
        <v>1485242.1700000002</v>
      </c>
      <c r="M56" s="2">
        <f>Balances_form!$E$5</f>
        <v>0</v>
      </c>
      <c r="N56" s="82">
        <v>-87363.630000000179</v>
      </c>
      <c r="O56" s="9">
        <f t="shared" si="7"/>
        <v>-87363.630000000179</v>
      </c>
      <c r="P56" s="10" t="e">
        <f t="shared" si="8"/>
        <v>#DIV/0!</v>
      </c>
      <c r="Q56" s="11" t="e">
        <f t="shared" si="9"/>
        <v>#DIV/0!</v>
      </c>
      <c r="U56" s="9"/>
    </row>
    <row r="57" spans="1:21">
      <c r="A57" s="83">
        <v>2258</v>
      </c>
      <c r="B57" s="60" t="s">
        <v>264</v>
      </c>
      <c r="C57" s="78">
        <f t="shared" si="2"/>
        <v>314846.28720000002</v>
      </c>
      <c r="D57" s="79">
        <v>1</v>
      </c>
      <c r="E57" s="80">
        <f t="shared" si="0"/>
        <v>0.12</v>
      </c>
      <c r="F57" s="81">
        <v>2188940.77</v>
      </c>
      <c r="G57" s="81">
        <v>0</v>
      </c>
      <c r="H57" s="81">
        <v>126256.69</v>
      </c>
      <c r="I57" s="81">
        <v>69155</v>
      </c>
      <c r="J57" s="81">
        <v>194134.1</v>
      </c>
      <c r="K57" s="81">
        <v>45232.5</v>
      </c>
      <c r="L57" s="82">
        <f t="shared" si="6"/>
        <v>2623719.06</v>
      </c>
      <c r="M57" s="2">
        <f>Balances_form!$E$5</f>
        <v>0</v>
      </c>
      <c r="N57" s="82">
        <v>-137364.80999999994</v>
      </c>
      <c r="O57" s="9">
        <f t="shared" si="7"/>
        <v>-137364.80999999994</v>
      </c>
      <c r="P57" s="10" t="e">
        <f t="shared" si="8"/>
        <v>#DIV/0!</v>
      </c>
      <c r="Q57" s="11" t="e">
        <f t="shared" si="9"/>
        <v>#DIV/0!</v>
      </c>
      <c r="U57" s="9"/>
    </row>
    <row r="58" spans="1:21">
      <c r="A58" s="83">
        <v>2263</v>
      </c>
      <c r="B58" s="60" t="s">
        <v>265</v>
      </c>
      <c r="C58" s="78">
        <f t="shared" si="2"/>
        <v>130333.76279999998</v>
      </c>
      <c r="D58" s="79">
        <v>1</v>
      </c>
      <c r="E58" s="80">
        <f t="shared" si="0"/>
        <v>0.12</v>
      </c>
      <c r="F58" s="81">
        <v>939375.52</v>
      </c>
      <c r="G58" s="81">
        <v>0</v>
      </c>
      <c r="H58" s="81">
        <v>28513.23</v>
      </c>
      <c r="I58" s="81">
        <v>86782.51</v>
      </c>
      <c r="J58" s="81">
        <v>9736.93</v>
      </c>
      <c r="K58" s="81">
        <v>21706.5</v>
      </c>
      <c r="L58" s="82">
        <f t="shared" si="6"/>
        <v>1086114.69</v>
      </c>
      <c r="M58" s="2">
        <f>Balances_form!$E$5</f>
        <v>0</v>
      </c>
      <c r="N58" s="82">
        <v>-225451.77999999974</v>
      </c>
      <c r="O58" s="9">
        <f t="shared" si="7"/>
        <v>-225451.77999999974</v>
      </c>
      <c r="P58" s="10" t="e">
        <f t="shared" si="8"/>
        <v>#DIV/0!</v>
      </c>
      <c r="Q58" s="11" t="e">
        <f t="shared" si="9"/>
        <v>#DIV/0!</v>
      </c>
      <c r="U58" s="9"/>
    </row>
    <row r="59" spans="1:21">
      <c r="A59" s="83">
        <v>2265</v>
      </c>
      <c r="B59" s="60" t="s">
        <v>266</v>
      </c>
      <c r="C59" s="78">
        <f t="shared" si="2"/>
        <v>98243.928</v>
      </c>
      <c r="D59" s="79">
        <v>1</v>
      </c>
      <c r="E59" s="80">
        <f t="shared" si="0"/>
        <v>0.12</v>
      </c>
      <c r="F59" s="81">
        <v>654159.48</v>
      </c>
      <c r="G59" s="81">
        <v>0</v>
      </c>
      <c r="H59" s="81">
        <v>65091.920000000006</v>
      </c>
      <c r="I59" s="81">
        <v>48795</v>
      </c>
      <c r="J59" s="81">
        <v>32190</v>
      </c>
      <c r="K59" s="81">
        <v>18463</v>
      </c>
      <c r="L59" s="82">
        <f t="shared" si="6"/>
        <v>818699.4</v>
      </c>
      <c r="M59" s="2">
        <f>Balances_form!$E$5</f>
        <v>0</v>
      </c>
      <c r="N59" s="82">
        <v>-22560.969999999674</v>
      </c>
      <c r="O59" s="9">
        <f t="shared" si="7"/>
        <v>-22560.969999999674</v>
      </c>
      <c r="P59" s="10" t="e">
        <f t="shared" si="8"/>
        <v>#DIV/0!</v>
      </c>
      <c r="Q59" s="11" t="e">
        <f t="shared" si="9"/>
        <v>#DIV/0!</v>
      </c>
      <c r="U59" s="9"/>
    </row>
    <row r="60" spans="1:21">
      <c r="A60" s="83">
        <v>2268</v>
      </c>
      <c r="B60" s="60" t="s">
        <v>267</v>
      </c>
      <c r="C60" s="78">
        <f t="shared" si="2"/>
        <v>138705.49919999999</v>
      </c>
      <c r="D60" s="79">
        <v>1</v>
      </c>
      <c r="E60" s="80">
        <f t="shared" si="0"/>
        <v>0.12</v>
      </c>
      <c r="F60" s="81">
        <v>875034.59</v>
      </c>
      <c r="G60" s="81">
        <v>0</v>
      </c>
      <c r="H60" s="81">
        <v>112742.64</v>
      </c>
      <c r="I60" s="81">
        <v>53925</v>
      </c>
      <c r="J60" s="81">
        <v>89601.18</v>
      </c>
      <c r="K60" s="81">
        <v>24575.75</v>
      </c>
      <c r="L60" s="82">
        <f t="shared" si="6"/>
        <v>1155879.1599999999</v>
      </c>
      <c r="M60" s="2">
        <f>Balances_form!$E$5</f>
        <v>0</v>
      </c>
      <c r="N60" s="82">
        <v>-142052.67000000004</v>
      </c>
      <c r="O60" s="9">
        <f t="shared" si="7"/>
        <v>-142052.67000000004</v>
      </c>
      <c r="P60" s="10" t="e">
        <f t="shared" si="8"/>
        <v>#DIV/0!</v>
      </c>
      <c r="Q60" s="11" t="e">
        <f t="shared" si="9"/>
        <v>#DIV/0!</v>
      </c>
      <c r="U60" s="9"/>
    </row>
    <row r="61" spans="1:21">
      <c r="A61" s="83">
        <v>2269</v>
      </c>
      <c r="B61" s="60" t="s">
        <v>268</v>
      </c>
      <c r="C61" s="78">
        <f t="shared" si="2"/>
        <v>163252.03679999997</v>
      </c>
      <c r="D61" s="79">
        <v>1</v>
      </c>
      <c r="E61" s="80">
        <f t="shared" si="0"/>
        <v>0.12</v>
      </c>
      <c r="F61" s="81">
        <v>1113773.3799999999</v>
      </c>
      <c r="G61" s="81">
        <v>0</v>
      </c>
      <c r="H61" s="81">
        <v>119033.26000000001</v>
      </c>
      <c r="I61" s="81">
        <v>105370</v>
      </c>
      <c r="J61" s="81">
        <v>16596</v>
      </c>
      <c r="K61" s="81">
        <v>5661</v>
      </c>
      <c r="L61" s="82">
        <f t="shared" si="6"/>
        <v>1360433.64</v>
      </c>
      <c r="M61" s="2">
        <f>Balances_form!$E$5</f>
        <v>0</v>
      </c>
      <c r="N61" s="82">
        <v>-66976.850000000559</v>
      </c>
      <c r="O61" s="9">
        <f t="shared" si="7"/>
        <v>-66976.850000000559</v>
      </c>
      <c r="P61" s="10" t="e">
        <f t="shared" si="8"/>
        <v>#DIV/0!</v>
      </c>
      <c r="Q61" s="11" t="e">
        <f t="shared" si="9"/>
        <v>#DIV/0!</v>
      </c>
      <c r="U61" s="9"/>
    </row>
    <row r="62" spans="1:21">
      <c r="A62" s="83">
        <v>2270</v>
      </c>
      <c r="B62" s="60" t="s">
        <v>269</v>
      </c>
      <c r="C62" s="78">
        <f t="shared" si="2"/>
        <v>81461.434800000003</v>
      </c>
      <c r="D62" s="79">
        <v>1</v>
      </c>
      <c r="E62" s="80">
        <f t="shared" ref="E62:E119" si="10">IF(D62=1,0.12,IF(D62=4,0.085,0.075))</f>
        <v>0.12</v>
      </c>
      <c r="F62" s="81">
        <v>599702.65</v>
      </c>
      <c r="G62" s="81">
        <v>0</v>
      </c>
      <c r="H62" s="81">
        <v>4613.21</v>
      </c>
      <c r="I62" s="81">
        <v>24595</v>
      </c>
      <c r="J62" s="81">
        <v>9696.93</v>
      </c>
      <c r="K62" s="81">
        <v>40237.5</v>
      </c>
      <c r="L62" s="82">
        <f t="shared" si="6"/>
        <v>678845.29</v>
      </c>
      <c r="M62" s="2">
        <f>Balances_form!$E$5</f>
        <v>0</v>
      </c>
      <c r="N62" s="82">
        <v>-63669.98000000004</v>
      </c>
      <c r="O62" s="9">
        <f t="shared" si="7"/>
        <v>-63669.98000000004</v>
      </c>
      <c r="P62" s="10" t="e">
        <f t="shared" si="8"/>
        <v>#DIV/0!</v>
      </c>
      <c r="Q62" s="11" t="e">
        <f t="shared" si="9"/>
        <v>#DIV/0!</v>
      </c>
      <c r="U62" s="9"/>
    </row>
    <row r="63" spans="1:21">
      <c r="A63" s="83">
        <v>2275</v>
      </c>
      <c r="B63" s="60" t="s">
        <v>270</v>
      </c>
      <c r="C63" s="78">
        <f t="shared" ref="C63:C120" si="11">IF(D63=1,L63*0.12,IF(D63=3,L63*0.085,L63*0.075))</f>
        <v>165900.4944</v>
      </c>
      <c r="D63" s="79">
        <v>1</v>
      </c>
      <c r="E63" s="80">
        <f t="shared" si="10"/>
        <v>0.12</v>
      </c>
      <c r="F63" s="81">
        <v>1157263.25</v>
      </c>
      <c r="G63" s="81">
        <v>0</v>
      </c>
      <c r="H63" s="81">
        <v>78991.87</v>
      </c>
      <c r="I63" s="81">
        <v>73070</v>
      </c>
      <c r="J63" s="81">
        <v>54217</v>
      </c>
      <c r="K63" s="81">
        <v>18962</v>
      </c>
      <c r="L63" s="82">
        <f t="shared" si="6"/>
        <v>1382504.12</v>
      </c>
      <c r="M63" s="2">
        <f>Balances_form!$E$5</f>
        <v>0</v>
      </c>
      <c r="N63" s="82">
        <v>-108776.25999999975</v>
      </c>
      <c r="O63" s="9">
        <f t="shared" si="7"/>
        <v>-108776.25999999975</v>
      </c>
      <c r="P63" s="10" t="e">
        <f t="shared" si="8"/>
        <v>#DIV/0!</v>
      </c>
      <c r="Q63" s="11" t="e">
        <f t="shared" si="9"/>
        <v>#DIV/0!</v>
      </c>
      <c r="U63" s="9"/>
    </row>
    <row r="64" spans="1:21">
      <c r="A64" s="83">
        <v>2276</v>
      </c>
      <c r="B64" s="60" t="s">
        <v>271</v>
      </c>
      <c r="C64" s="78">
        <f t="shared" si="11"/>
        <v>255359.12880000001</v>
      </c>
      <c r="D64" s="79">
        <v>1</v>
      </c>
      <c r="E64" s="80">
        <f t="shared" si="10"/>
        <v>0.12</v>
      </c>
      <c r="F64" s="81">
        <v>1793853.7</v>
      </c>
      <c r="G64" s="81">
        <v>0</v>
      </c>
      <c r="H64" s="81">
        <v>87264.609999999986</v>
      </c>
      <c r="I64" s="81">
        <v>69275</v>
      </c>
      <c r="J64" s="81">
        <v>146796.93</v>
      </c>
      <c r="K64" s="81">
        <v>30802.5</v>
      </c>
      <c r="L64" s="82">
        <f t="shared" si="6"/>
        <v>2127992.7400000002</v>
      </c>
      <c r="M64" s="2">
        <f>Balances_form!$E$5</f>
        <v>0</v>
      </c>
      <c r="N64" s="82">
        <v>-24421.709999999453</v>
      </c>
      <c r="O64" s="9">
        <f t="shared" si="7"/>
        <v>-24421.709999999453</v>
      </c>
      <c r="P64" s="10" t="e">
        <f t="shared" si="8"/>
        <v>#DIV/0!</v>
      </c>
      <c r="Q64" s="11" t="e">
        <f t="shared" si="9"/>
        <v>#DIV/0!</v>
      </c>
      <c r="U64" s="9"/>
    </row>
    <row r="65" spans="1:21">
      <c r="A65" s="83">
        <v>2278</v>
      </c>
      <c r="B65" s="60" t="s">
        <v>272</v>
      </c>
      <c r="C65" s="78">
        <f t="shared" si="11"/>
        <v>104304.4788</v>
      </c>
      <c r="D65" s="79">
        <v>1</v>
      </c>
      <c r="E65" s="80">
        <f t="shared" si="10"/>
        <v>0.12</v>
      </c>
      <c r="F65" s="81">
        <v>711104.12999999989</v>
      </c>
      <c r="G65" s="81">
        <v>0</v>
      </c>
      <c r="H65" s="81">
        <v>59964.56</v>
      </c>
      <c r="I65" s="81">
        <v>55077.8</v>
      </c>
      <c r="J65" s="81">
        <v>28337</v>
      </c>
      <c r="K65" s="81">
        <v>14720.5</v>
      </c>
      <c r="L65" s="82">
        <f t="shared" si="6"/>
        <v>869203.99</v>
      </c>
      <c r="M65" s="2">
        <f>Balances_form!$E$5</f>
        <v>0</v>
      </c>
      <c r="N65" s="82">
        <v>-67179.579999999871</v>
      </c>
      <c r="O65" s="9">
        <f t="shared" si="7"/>
        <v>-67179.579999999871</v>
      </c>
      <c r="P65" s="10" t="e">
        <f t="shared" si="8"/>
        <v>#DIV/0!</v>
      </c>
      <c r="Q65" s="11" t="e">
        <f t="shared" si="9"/>
        <v>#DIV/0!</v>
      </c>
      <c r="U65" s="9"/>
    </row>
    <row r="66" spans="1:21">
      <c r="A66" s="83">
        <v>2279</v>
      </c>
      <c r="B66" s="60" t="s">
        <v>273</v>
      </c>
      <c r="C66" s="78">
        <f t="shared" si="11"/>
        <v>83218.767599999977</v>
      </c>
      <c r="D66" s="79">
        <v>1</v>
      </c>
      <c r="E66" s="80">
        <f t="shared" si="10"/>
        <v>0.12</v>
      </c>
      <c r="F66" s="81">
        <v>576934.71999999986</v>
      </c>
      <c r="G66" s="81">
        <v>0</v>
      </c>
      <c r="H66" s="81">
        <v>49465.58</v>
      </c>
      <c r="I66" s="81">
        <v>31098</v>
      </c>
      <c r="J66" s="81">
        <v>26260.93</v>
      </c>
      <c r="K66" s="81">
        <v>9730.5</v>
      </c>
      <c r="L66" s="82">
        <f t="shared" si="6"/>
        <v>693489.72999999986</v>
      </c>
      <c r="M66" s="2">
        <f>Balances_form!$E$5</f>
        <v>0</v>
      </c>
      <c r="N66" s="82">
        <v>-35805.590000000077</v>
      </c>
      <c r="O66" s="9">
        <f t="shared" si="7"/>
        <v>-35805.590000000077</v>
      </c>
      <c r="P66" s="10" t="e">
        <f t="shared" si="8"/>
        <v>#DIV/0!</v>
      </c>
      <c r="Q66" s="11" t="e">
        <f t="shared" si="9"/>
        <v>#DIV/0!</v>
      </c>
      <c r="U66" s="9"/>
    </row>
    <row r="67" spans="1:21">
      <c r="A67" s="83">
        <v>2280</v>
      </c>
      <c r="B67" s="60" t="s">
        <v>274</v>
      </c>
      <c r="C67" s="78">
        <f t="shared" si="11"/>
        <v>147151.7892</v>
      </c>
      <c r="D67" s="79">
        <v>1</v>
      </c>
      <c r="E67" s="80">
        <f t="shared" si="10"/>
        <v>0.12</v>
      </c>
      <c r="F67" s="81">
        <v>1056541.3500000001</v>
      </c>
      <c r="G67" s="81">
        <v>0</v>
      </c>
      <c r="H67" s="81">
        <v>46188.56</v>
      </c>
      <c r="I67" s="81">
        <v>41620</v>
      </c>
      <c r="J67" s="81">
        <v>53055</v>
      </c>
      <c r="K67" s="81">
        <v>28860</v>
      </c>
      <c r="L67" s="82">
        <f t="shared" si="6"/>
        <v>1226264.9100000001</v>
      </c>
      <c r="M67" s="2">
        <f>Balances_form!$E$5</f>
        <v>0</v>
      </c>
      <c r="N67" s="82">
        <v>-18298.530000000457</v>
      </c>
      <c r="O67" s="9">
        <f t="shared" si="7"/>
        <v>-18298.530000000457</v>
      </c>
      <c r="P67" s="10" t="e">
        <f t="shared" si="8"/>
        <v>#DIV/0!</v>
      </c>
      <c r="Q67" s="11" t="e">
        <f t="shared" si="9"/>
        <v>#DIV/0!</v>
      </c>
      <c r="U67" s="9"/>
    </row>
    <row r="68" spans="1:21">
      <c r="A68" s="83">
        <v>2282</v>
      </c>
      <c r="B68" s="60" t="s">
        <v>275</v>
      </c>
      <c r="C68" s="78">
        <f t="shared" si="11"/>
        <v>302872.39079999999</v>
      </c>
      <c r="D68" s="79">
        <v>1</v>
      </c>
      <c r="E68" s="80">
        <f t="shared" si="10"/>
        <v>0.12</v>
      </c>
      <c r="F68" s="81">
        <v>2127682.5099999998</v>
      </c>
      <c r="G68" s="81">
        <v>0</v>
      </c>
      <c r="H68" s="81">
        <v>138842.79</v>
      </c>
      <c r="I68" s="81">
        <v>121465</v>
      </c>
      <c r="J68" s="81">
        <v>97546.290000000008</v>
      </c>
      <c r="K68" s="81">
        <v>38400</v>
      </c>
      <c r="L68" s="82">
        <f t="shared" si="6"/>
        <v>2523936.59</v>
      </c>
      <c r="M68" s="2">
        <f>Balances_form!$E$5</f>
        <v>0</v>
      </c>
      <c r="N68" s="82">
        <v>-47441.300000000076</v>
      </c>
      <c r="O68" s="9">
        <f t="shared" si="7"/>
        <v>-47441.300000000076</v>
      </c>
      <c r="P68" s="10" t="e">
        <f t="shared" si="8"/>
        <v>#DIV/0!</v>
      </c>
      <c r="Q68" s="11" t="e">
        <f t="shared" si="9"/>
        <v>#DIV/0!</v>
      </c>
      <c r="U68" s="9"/>
    </row>
    <row r="69" spans="1:21">
      <c r="A69" s="83">
        <v>2285</v>
      </c>
      <c r="B69" s="60" t="s">
        <v>276</v>
      </c>
      <c r="C69" s="78">
        <f t="shared" si="11"/>
        <v>127275.01799999998</v>
      </c>
      <c r="D69" s="79">
        <v>1</v>
      </c>
      <c r="E69" s="80">
        <f t="shared" si="10"/>
        <v>0.12</v>
      </c>
      <c r="F69" s="81">
        <v>939602.83999999985</v>
      </c>
      <c r="G69" s="81">
        <v>0</v>
      </c>
      <c r="H69" s="81">
        <v>3867.7</v>
      </c>
      <c r="I69" s="81">
        <v>59785</v>
      </c>
      <c r="J69" s="81">
        <v>38781.86</v>
      </c>
      <c r="K69" s="81">
        <v>18587.75</v>
      </c>
      <c r="L69" s="82">
        <f t="shared" si="6"/>
        <v>1060625.1499999999</v>
      </c>
      <c r="M69" s="2">
        <f>Balances_form!$E$5</f>
        <v>0</v>
      </c>
      <c r="N69" s="82">
        <v>-66751.249999999985</v>
      </c>
      <c r="O69" s="9">
        <f t="shared" si="7"/>
        <v>-66751.249999999985</v>
      </c>
      <c r="P69" s="10" t="e">
        <f t="shared" si="8"/>
        <v>#DIV/0!</v>
      </c>
      <c r="Q69" s="11" t="e">
        <f t="shared" si="9"/>
        <v>#DIV/0!</v>
      </c>
      <c r="U69" s="9"/>
    </row>
    <row r="70" spans="1:21">
      <c r="A70" s="83">
        <v>2289</v>
      </c>
      <c r="B70" s="60" t="s">
        <v>277</v>
      </c>
      <c r="C70" s="78">
        <f t="shared" si="11"/>
        <v>84951.478800000012</v>
      </c>
      <c r="D70" s="79">
        <v>1</v>
      </c>
      <c r="E70" s="80">
        <f t="shared" si="10"/>
        <v>0.12</v>
      </c>
      <c r="F70" s="81">
        <v>627685.18000000005</v>
      </c>
      <c r="G70" s="81">
        <v>0</v>
      </c>
      <c r="H70" s="81">
        <v>9477.06</v>
      </c>
      <c r="I70" s="81">
        <v>25755</v>
      </c>
      <c r="J70" s="81">
        <v>27921</v>
      </c>
      <c r="K70" s="81">
        <v>17090.75</v>
      </c>
      <c r="L70" s="82">
        <f t="shared" si="6"/>
        <v>707928.99000000011</v>
      </c>
      <c r="M70" s="2">
        <f>Balances_form!$E$5</f>
        <v>0</v>
      </c>
      <c r="N70" s="82">
        <v>-23502.340000000193</v>
      </c>
      <c r="O70" s="9">
        <f t="shared" si="7"/>
        <v>-23502.340000000193</v>
      </c>
      <c r="P70" s="10" t="e">
        <f t="shared" si="8"/>
        <v>#DIV/0!</v>
      </c>
      <c r="Q70" s="11" t="e">
        <f t="shared" si="9"/>
        <v>#DIV/0!</v>
      </c>
      <c r="U70" s="9"/>
    </row>
    <row r="71" spans="1:21">
      <c r="A71" s="83">
        <v>2298</v>
      </c>
      <c r="B71" s="60" t="s">
        <v>278</v>
      </c>
      <c r="C71" s="78">
        <f t="shared" si="11"/>
        <v>272947.65840000001</v>
      </c>
      <c r="D71" s="79">
        <v>1</v>
      </c>
      <c r="E71" s="80">
        <f t="shared" si="10"/>
        <v>0.12</v>
      </c>
      <c r="F71" s="81">
        <v>1982273.76</v>
      </c>
      <c r="G71" s="81">
        <v>0</v>
      </c>
      <c r="H71" s="81">
        <v>60365.96</v>
      </c>
      <c r="I71" s="81">
        <v>135912.17000000001</v>
      </c>
      <c r="J71" s="81">
        <v>83912.93</v>
      </c>
      <c r="K71" s="81">
        <v>12099</v>
      </c>
      <c r="L71" s="82">
        <f t="shared" si="6"/>
        <v>2274563.8200000003</v>
      </c>
      <c r="M71" s="2">
        <f>Balances_form!$E$5</f>
        <v>0</v>
      </c>
      <c r="N71" s="82">
        <v>-208678</v>
      </c>
      <c r="O71" s="9">
        <f t="shared" si="7"/>
        <v>-208678</v>
      </c>
      <c r="P71" s="10" t="e">
        <f t="shared" si="8"/>
        <v>#DIV/0!</v>
      </c>
      <c r="Q71" s="11" t="e">
        <f t="shared" si="9"/>
        <v>#DIV/0!</v>
      </c>
      <c r="U71" s="9"/>
    </row>
    <row r="72" spans="1:21">
      <c r="A72" s="83">
        <v>2300</v>
      </c>
      <c r="B72" s="60" t="s">
        <v>279</v>
      </c>
      <c r="C72" s="78">
        <f t="shared" si="11"/>
        <v>144528.228</v>
      </c>
      <c r="D72" s="79">
        <v>1</v>
      </c>
      <c r="E72" s="80">
        <f t="shared" si="10"/>
        <v>0.12</v>
      </c>
      <c r="F72" s="81">
        <v>1017223.4100000001</v>
      </c>
      <c r="G72" s="81">
        <v>0</v>
      </c>
      <c r="H72" s="81">
        <v>56822.489999999991</v>
      </c>
      <c r="I72" s="81">
        <v>59085</v>
      </c>
      <c r="J72" s="81">
        <v>48816</v>
      </c>
      <c r="K72" s="81">
        <v>22455</v>
      </c>
      <c r="L72" s="82">
        <f t="shared" si="6"/>
        <v>1204401.9000000001</v>
      </c>
      <c r="M72" s="2">
        <f>Balances_form!$E$5</f>
        <v>0</v>
      </c>
      <c r="N72" s="82">
        <v>-130119.55999999997</v>
      </c>
      <c r="O72" s="9">
        <f t="shared" si="7"/>
        <v>-130119.55999999997</v>
      </c>
      <c r="P72" s="10" t="e">
        <f t="shared" si="8"/>
        <v>#DIV/0!</v>
      </c>
      <c r="Q72" s="11" t="e">
        <f t="shared" si="9"/>
        <v>#DIV/0!</v>
      </c>
      <c r="U72" s="9"/>
    </row>
    <row r="73" spans="1:21">
      <c r="A73" s="83">
        <v>2312</v>
      </c>
      <c r="B73" s="60" t="s">
        <v>280</v>
      </c>
      <c r="C73" s="78">
        <f t="shared" si="11"/>
        <v>297049.49160000001</v>
      </c>
      <c r="D73" s="79">
        <v>1</v>
      </c>
      <c r="E73" s="80">
        <f t="shared" si="10"/>
        <v>0.12</v>
      </c>
      <c r="F73" s="81">
        <v>2095335.04</v>
      </c>
      <c r="G73" s="81">
        <v>0</v>
      </c>
      <c r="H73" s="81">
        <v>129096.89</v>
      </c>
      <c r="I73" s="81">
        <v>136965</v>
      </c>
      <c r="J73" s="81">
        <v>61568</v>
      </c>
      <c r="K73" s="81">
        <v>52447.5</v>
      </c>
      <c r="L73" s="82">
        <f t="shared" si="6"/>
        <v>2475412.4300000002</v>
      </c>
      <c r="M73" s="2">
        <f>Balances_form!$E$5</f>
        <v>0</v>
      </c>
      <c r="N73" s="82">
        <v>-217740.66999999975</v>
      </c>
      <c r="O73" s="9">
        <f t="shared" si="7"/>
        <v>-217740.66999999975</v>
      </c>
      <c r="P73" s="10" t="e">
        <f t="shared" si="8"/>
        <v>#DIV/0!</v>
      </c>
      <c r="Q73" s="11" t="e">
        <f t="shared" si="9"/>
        <v>#DIV/0!</v>
      </c>
      <c r="U73" s="9"/>
    </row>
    <row r="74" spans="1:21">
      <c r="A74" s="83">
        <v>2318</v>
      </c>
      <c r="B74" s="60" t="s">
        <v>281</v>
      </c>
      <c r="C74" s="78">
        <f t="shared" si="11"/>
        <v>91268.209199999983</v>
      </c>
      <c r="D74" s="79">
        <v>1</v>
      </c>
      <c r="E74" s="80">
        <f t="shared" si="10"/>
        <v>0.12</v>
      </c>
      <c r="F74" s="81">
        <v>646276.34</v>
      </c>
      <c r="G74" s="81">
        <v>0</v>
      </c>
      <c r="H74" s="81">
        <v>49544.07</v>
      </c>
      <c r="I74" s="81">
        <v>26455</v>
      </c>
      <c r="J74" s="81">
        <v>36493</v>
      </c>
      <c r="K74" s="81">
        <v>1800</v>
      </c>
      <c r="L74" s="82">
        <f t="shared" si="6"/>
        <v>760568.40999999992</v>
      </c>
      <c r="M74" s="2">
        <f>Balances_form!$E$5</f>
        <v>0</v>
      </c>
      <c r="N74" s="82">
        <v>-92354.850000000239</v>
      </c>
      <c r="O74" s="9">
        <f t="shared" si="7"/>
        <v>-92354.850000000239</v>
      </c>
      <c r="P74" s="10" t="e">
        <f t="shared" si="8"/>
        <v>#DIV/0!</v>
      </c>
      <c r="Q74" s="11" t="e">
        <f t="shared" si="9"/>
        <v>#DIV/0!</v>
      </c>
      <c r="U74" s="9"/>
    </row>
    <row r="75" spans="1:21">
      <c r="A75" s="83">
        <v>2320</v>
      </c>
      <c r="B75" s="60" t="s">
        <v>282</v>
      </c>
      <c r="C75" s="78">
        <f t="shared" si="11"/>
        <v>113977.53839999999</v>
      </c>
      <c r="D75" s="79">
        <v>1</v>
      </c>
      <c r="E75" s="80">
        <f t="shared" si="10"/>
        <v>0.12</v>
      </c>
      <c r="F75" s="81">
        <v>770981.66999999993</v>
      </c>
      <c r="G75" s="81">
        <v>0</v>
      </c>
      <c r="H75" s="81">
        <v>48646.899999999994</v>
      </c>
      <c r="I75" s="81">
        <v>84395</v>
      </c>
      <c r="J75" s="81">
        <v>25455</v>
      </c>
      <c r="K75" s="81">
        <v>20334.25</v>
      </c>
      <c r="L75" s="82">
        <f t="shared" si="6"/>
        <v>949812.82</v>
      </c>
      <c r="M75" s="2">
        <f>Balances_form!$E$5</f>
        <v>0</v>
      </c>
      <c r="N75" s="82">
        <v>-70967.469999999928</v>
      </c>
      <c r="O75" s="9">
        <f t="shared" si="7"/>
        <v>-70967.469999999928</v>
      </c>
      <c r="P75" s="10" t="e">
        <f t="shared" si="8"/>
        <v>#DIV/0!</v>
      </c>
      <c r="Q75" s="11" t="e">
        <f t="shared" si="9"/>
        <v>#DIV/0!</v>
      </c>
      <c r="U75" s="9"/>
    </row>
    <row r="76" spans="1:21">
      <c r="A76" s="83">
        <v>2321</v>
      </c>
      <c r="B76" s="60" t="s">
        <v>283</v>
      </c>
      <c r="C76" s="78">
        <f t="shared" si="11"/>
        <v>74395.843199999988</v>
      </c>
      <c r="D76" s="79">
        <v>1</v>
      </c>
      <c r="E76" s="80">
        <f t="shared" si="10"/>
        <v>0.12</v>
      </c>
      <c r="F76" s="81">
        <v>521044.43999999994</v>
      </c>
      <c r="G76" s="81">
        <v>0</v>
      </c>
      <c r="H76" s="81">
        <v>29742.92</v>
      </c>
      <c r="I76" s="81">
        <v>25355</v>
      </c>
      <c r="J76" s="81">
        <v>24362</v>
      </c>
      <c r="K76" s="81">
        <v>19461</v>
      </c>
      <c r="L76" s="82">
        <f t="shared" si="6"/>
        <v>619965.36</v>
      </c>
      <c r="M76" s="2">
        <f>Balances_form!$E$5</f>
        <v>0</v>
      </c>
      <c r="N76" s="82">
        <v>-66061.819999999978</v>
      </c>
      <c r="O76" s="9">
        <f t="shared" si="7"/>
        <v>-66061.819999999978</v>
      </c>
      <c r="P76" s="10" t="e">
        <f t="shared" si="8"/>
        <v>#DIV/0!</v>
      </c>
      <c r="Q76" s="11" t="e">
        <f t="shared" si="9"/>
        <v>#DIV/0!</v>
      </c>
      <c r="U76" s="9"/>
    </row>
    <row r="77" spans="1:21">
      <c r="A77" s="83">
        <v>2322</v>
      </c>
      <c r="B77" s="60" t="s">
        <v>284</v>
      </c>
      <c r="C77" s="78">
        <f t="shared" si="11"/>
        <v>98148.878399999987</v>
      </c>
      <c r="D77" s="79">
        <v>1</v>
      </c>
      <c r="E77" s="80">
        <f t="shared" si="10"/>
        <v>0.12</v>
      </c>
      <c r="F77" s="81">
        <v>698260.54999999993</v>
      </c>
      <c r="G77" s="81">
        <v>0</v>
      </c>
      <c r="H77" s="81">
        <v>35976.270000000004</v>
      </c>
      <c r="I77" s="81">
        <v>31315</v>
      </c>
      <c r="J77" s="81">
        <v>34641</v>
      </c>
      <c r="K77" s="81">
        <v>17714.5</v>
      </c>
      <c r="L77" s="82">
        <f t="shared" si="6"/>
        <v>817907.32</v>
      </c>
      <c r="M77" s="2">
        <f>Balances_form!$E$5</f>
        <v>0</v>
      </c>
      <c r="N77" s="82">
        <v>-26413.860000000226</v>
      </c>
      <c r="O77" s="9">
        <f t="shared" si="7"/>
        <v>-26413.860000000226</v>
      </c>
      <c r="P77" s="10" t="e">
        <f t="shared" si="8"/>
        <v>#DIV/0!</v>
      </c>
      <c r="Q77" s="11" t="e">
        <f t="shared" si="9"/>
        <v>#DIV/0!</v>
      </c>
      <c r="U77" s="9"/>
    </row>
    <row r="78" spans="1:21">
      <c r="A78" s="83">
        <v>2326</v>
      </c>
      <c r="B78" s="60" t="s">
        <v>285</v>
      </c>
      <c r="C78" s="78">
        <f t="shared" si="11"/>
        <v>155883.50279999999</v>
      </c>
      <c r="D78" s="79">
        <v>1</v>
      </c>
      <c r="E78" s="80">
        <f t="shared" si="10"/>
        <v>0.12</v>
      </c>
      <c r="F78" s="81">
        <v>1056812.27</v>
      </c>
      <c r="G78" s="81">
        <v>0</v>
      </c>
      <c r="H78" s="81">
        <v>83010.92</v>
      </c>
      <c r="I78" s="81">
        <v>61715</v>
      </c>
      <c r="J78" s="81">
        <v>59751</v>
      </c>
      <c r="K78" s="81">
        <v>37740</v>
      </c>
      <c r="L78" s="82">
        <f t="shared" si="6"/>
        <v>1299029.19</v>
      </c>
      <c r="M78" s="2">
        <f>Balances_form!$E$5</f>
        <v>0</v>
      </c>
      <c r="N78" s="82">
        <v>-154208.46000000002</v>
      </c>
      <c r="O78" s="9">
        <f t="shared" si="7"/>
        <v>-154208.46000000002</v>
      </c>
      <c r="P78" s="10" t="e">
        <f t="shared" si="8"/>
        <v>#DIV/0!</v>
      </c>
      <c r="Q78" s="11" t="e">
        <f t="shared" si="9"/>
        <v>#DIV/0!</v>
      </c>
      <c r="U78" s="9"/>
    </row>
    <row r="79" spans="1:21">
      <c r="A79" s="83">
        <v>2328</v>
      </c>
      <c r="B79" s="60" t="s">
        <v>286</v>
      </c>
      <c r="C79" s="78">
        <f t="shared" si="11"/>
        <v>209391.64800000002</v>
      </c>
      <c r="D79" s="79">
        <v>1</v>
      </c>
      <c r="E79" s="80">
        <f t="shared" si="10"/>
        <v>0.12</v>
      </c>
      <c r="F79" s="81">
        <v>1426450.9300000002</v>
      </c>
      <c r="G79" s="81">
        <v>0</v>
      </c>
      <c r="H79" s="81">
        <v>87252.97</v>
      </c>
      <c r="I79" s="81">
        <v>73720</v>
      </c>
      <c r="J79" s="81">
        <v>122819</v>
      </c>
      <c r="K79" s="81">
        <v>34687.5</v>
      </c>
      <c r="L79" s="82">
        <f t="shared" si="6"/>
        <v>1744930.4000000001</v>
      </c>
      <c r="M79" s="2">
        <f>Balances_form!$E$5</f>
        <v>0</v>
      </c>
      <c r="N79" s="82">
        <v>-74878.059999999328</v>
      </c>
      <c r="O79" s="9">
        <f t="shared" si="7"/>
        <v>-74878.059999999328</v>
      </c>
      <c r="P79" s="10" t="e">
        <f t="shared" si="8"/>
        <v>#DIV/0!</v>
      </c>
      <c r="Q79" s="11" t="e">
        <f t="shared" si="9"/>
        <v>#DIV/0!</v>
      </c>
      <c r="U79" s="9"/>
    </row>
    <row r="80" spans="1:21">
      <c r="A80" s="83">
        <v>2329</v>
      </c>
      <c r="B80" s="60" t="s">
        <v>287</v>
      </c>
      <c r="C80" s="78">
        <f t="shared" si="11"/>
        <v>219437.56439999997</v>
      </c>
      <c r="D80" s="79">
        <v>1</v>
      </c>
      <c r="E80" s="80">
        <f t="shared" si="10"/>
        <v>0.12</v>
      </c>
      <c r="F80" s="81">
        <v>1500538.95</v>
      </c>
      <c r="G80" s="81">
        <v>0</v>
      </c>
      <c r="H80" s="81">
        <v>53260.780000000006</v>
      </c>
      <c r="I80" s="81">
        <v>98685</v>
      </c>
      <c r="J80" s="81">
        <v>122326.64</v>
      </c>
      <c r="K80" s="81">
        <v>53835</v>
      </c>
      <c r="L80" s="82">
        <f t="shared" si="6"/>
        <v>1828646.3699999999</v>
      </c>
      <c r="M80" s="2">
        <f>Balances_form!$E$5</f>
        <v>0</v>
      </c>
      <c r="N80" s="82">
        <v>-158195.16000000003</v>
      </c>
      <c r="O80" s="9">
        <f t="shared" si="7"/>
        <v>-158195.16000000003</v>
      </c>
      <c r="P80" s="10" t="e">
        <f t="shared" si="8"/>
        <v>#DIV/0!</v>
      </c>
      <c r="Q80" s="11" t="e">
        <f t="shared" si="9"/>
        <v>#DIV/0!</v>
      </c>
      <c r="U80" s="9"/>
    </row>
    <row r="81" spans="1:21">
      <c r="A81" s="83">
        <v>2337</v>
      </c>
      <c r="B81" s="60" t="s">
        <v>288</v>
      </c>
      <c r="C81" s="78">
        <f t="shared" si="11"/>
        <v>121556.1612</v>
      </c>
      <c r="D81" s="79">
        <v>1</v>
      </c>
      <c r="E81" s="80">
        <f t="shared" si="10"/>
        <v>0.12</v>
      </c>
      <c r="F81" s="81">
        <v>796273.25</v>
      </c>
      <c r="G81" s="81">
        <v>0</v>
      </c>
      <c r="H81" s="81">
        <v>71597.930000000008</v>
      </c>
      <c r="I81" s="81">
        <v>59602.080000000002</v>
      </c>
      <c r="J81" s="81">
        <v>61917</v>
      </c>
      <c r="K81" s="81">
        <v>23577.75</v>
      </c>
      <c r="L81" s="82">
        <f t="shared" si="6"/>
        <v>1012968.01</v>
      </c>
      <c r="M81" s="2">
        <f>Balances_form!$E$5</f>
        <v>0</v>
      </c>
      <c r="N81" s="82">
        <v>0</v>
      </c>
      <c r="O81" s="9">
        <f t="shared" si="7"/>
        <v>0</v>
      </c>
      <c r="P81" s="10" t="e">
        <f t="shared" si="8"/>
        <v>#DIV/0!</v>
      </c>
      <c r="Q81" s="11" t="str">
        <f t="shared" si="9"/>
        <v>Within Tolerance</v>
      </c>
      <c r="U81" s="9"/>
    </row>
    <row r="82" spans="1:21">
      <c r="A82" s="83">
        <v>2340</v>
      </c>
      <c r="B82" s="60" t="s">
        <v>289</v>
      </c>
      <c r="C82" s="78">
        <f t="shared" si="11"/>
        <v>171080.67959999997</v>
      </c>
      <c r="D82" s="79">
        <v>1</v>
      </c>
      <c r="E82" s="80">
        <f t="shared" si="10"/>
        <v>0.12</v>
      </c>
      <c r="F82" s="81">
        <v>1120390.1499999999</v>
      </c>
      <c r="G82" s="81">
        <v>0</v>
      </c>
      <c r="H82" s="81">
        <v>81202.539999999994</v>
      </c>
      <c r="I82" s="81">
        <v>138505</v>
      </c>
      <c r="J82" s="81">
        <v>57926.64</v>
      </c>
      <c r="K82" s="81">
        <v>27648</v>
      </c>
      <c r="L82" s="82">
        <f t="shared" si="6"/>
        <v>1425672.3299999998</v>
      </c>
      <c r="M82" s="2">
        <f>Balances_form!$E$5</f>
        <v>0</v>
      </c>
      <c r="N82" s="82">
        <v>-174116.65000000014</v>
      </c>
      <c r="O82" s="9">
        <f t="shared" si="7"/>
        <v>-174116.65000000014</v>
      </c>
      <c r="P82" s="10" t="e">
        <f t="shared" si="8"/>
        <v>#DIV/0!</v>
      </c>
      <c r="Q82" s="11" t="e">
        <f t="shared" si="9"/>
        <v>#DIV/0!</v>
      </c>
      <c r="U82" s="9"/>
    </row>
    <row r="83" spans="1:21">
      <c r="A83" s="83">
        <v>2345</v>
      </c>
      <c r="B83" s="60" t="s">
        <v>290</v>
      </c>
      <c r="C83" s="78">
        <f t="shared" si="11"/>
        <v>161661.1152</v>
      </c>
      <c r="D83" s="79">
        <v>1</v>
      </c>
      <c r="E83" s="80">
        <f t="shared" si="10"/>
        <v>0.12</v>
      </c>
      <c r="F83" s="81">
        <v>1042763.57</v>
      </c>
      <c r="G83" s="81">
        <v>0</v>
      </c>
      <c r="H83" s="81">
        <v>103913.46</v>
      </c>
      <c r="I83" s="81">
        <v>114525</v>
      </c>
      <c r="J83" s="81">
        <v>48233.93</v>
      </c>
      <c r="K83" s="81">
        <v>37740</v>
      </c>
      <c r="L83" s="82">
        <f t="shared" si="6"/>
        <v>1347175.96</v>
      </c>
      <c r="M83" s="2">
        <f>Balances_form!$E$5</f>
        <v>0</v>
      </c>
      <c r="N83" s="82">
        <v>-136344.58999999956</v>
      </c>
      <c r="O83" s="9">
        <f t="shared" si="7"/>
        <v>-136344.58999999956</v>
      </c>
      <c r="P83" s="10" t="e">
        <f t="shared" si="8"/>
        <v>#DIV/0!</v>
      </c>
      <c r="Q83" s="11" t="e">
        <f t="shared" si="9"/>
        <v>#DIV/0!</v>
      </c>
      <c r="U83" s="9"/>
    </row>
    <row r="84" spans="1:21">
      <c r="A84" s="83">
        <v>2431</v>
      </c>
      <c r="B84" s="60" t="s">
        <v>291</v>
      </c>
      <c r="C84" s="78">
        <f t="shared" si="11"/>
        <v>210895.74479999999</v>
      </c>
      <c r="D84" s="79">
        <v>1</v>
      </c>
      <c r="E84" s="80">
        <f t="shared" si="10"/>
        <v>0.12</v>
      </c>
      <c r="F84" s="81">
        <v>1496616.93</v>
      </c>
      <c r="G84" s="81">
        <v>0</v>
      </c>
      <c r="H84" s="81">
        <v>76295</v>
      </c>
      <c r="I84" s="81">
        <v>145818.75</v>
      </c>
      <c r="J84" s="81">
        <v>16973.86</v>
      </c>
      <c r="K84" s="81">
        <v>21760</v>
      </c>
      <c r="L84" s="82">
        <f t="shared" si="6"/>
        <v>1757464.54</v>
      </c>
      <c r="M84" s="2">
        <f>Balances_form!$E$5</f>
        <v>0</v>
      </c>
      <c r="N84" s="82">
        <v>-55402.779999999009</v>
      </c>
      <c r="O84" s="9">
        <f t="shared" si="7"/>
        <v>-55402.779999999009</v>
      </c>
      <c r="P84" s="10" t="e">
        <f t="shared" si="8"/>
        <v>#DIV/0!</v>
      </c>
      <c r="Q84" s="11" t="e">
        <f t="shared" si="9"/>
        <v>#DIV/0!</v>
      </c>
      <c r="U84" s="9"/>
    </row>
    <row r="85" spans="1:21">
      <c r="A85" s="83">
        <v>2434</v>
      </c>
      <c r="B85" s="60" t="s">
        <v>292</v>
      </c>
      <c r="C85" s="78">
        <f t="shared" si="11"/>
        <v>460937.52480000001</v>
      </c>
      <c r="D85" s="79">
        <v>1</v>
      </c>
      <c r="E85" s="80">
        <f t="shared" si="10"/>
        <v>0.12</v>
      </c>
      <c r="F85" s="81">
        <v>3047984.82</v>
      </c>
      <c r="G85" s="81">
        <v>0</v>
      </c>
      <c r="H85" s="81">
        <v>224051.21999999997</v>
      </c>
      <c r="I85" s="81">
        <v>420408</v>
      </c>
      <c r="J85" s="81">
        <v>42697</v>
      </c>
      <c r="K85" s="81">
        <v>106005</v>
      </c>
      <c r="L85" s="82">
        <f t="shared" si="6"/>
        <v>3841146.04</v>
      </c>
      <c r="M85" s="2">
        <f>Balances_form!$E$5</f>
        <v>0</v>
      </c>
      <c r="N85" s="82">
        <v>-283099.79999999987</v>
      </c>
      <c r="O85" s="9">
        <f t="shared" si="7"/>
        <v>-283099.79999999987</v>
      </c>
      <c r="P85" s="10" t="e">
        <f t="shared" si="8"/>
        <v>#DIV/0!</v>
      </c>
      <c r="Q85" s="11" t="e">
        <f t="shared" si="9"/>
        <v>#DIV/0!</v>
      </c>
      <c r="U85" s="9"/>
    </row>
    <row r="86" spans="1:21">
      <c r="A86" s="83">
        <v>2454</v>
      </c>
      <c r="B86" s="60" t="s">
        <v>293</v>
      </c>
      <c r="C86" s="78">
        <f t="shared" si="11"/>
        <v>119586.75000000001</v>
      </c>
      <c r="D86" s="79">
        <v>1</v>
      </c>
      <c r="E86" s="80">
        <f t="shared" si="10"/>
        <v>0.12</v>
      </c>
      <c r="F86" s="81">
        <v>719908.59000000008</v>
      </c>
      <c r="G86" s="81">
        <v>0</v>
      </c>
      <c r="H86" s="81">
        <v>124103.65999999999</v>
      </c>
      <c r="I86" s="81">
        <v>99930</v>
      </c>
      <c r="J86" s="81">
        <v>28163</v>
      </c>
      <c r="K86" s="81">
        <v>24451</v>
      </c>
      <c r="L86" s="82">
        <f t="shared" si="6"/>
        <v>996556.25000000012</v>
      </c>
      <c r="M86" s="2">
        <f>Balances_form!$E$5</f>
        <v>0</v>
      </c>
      <c r="N86" s="82">
        <v>-63684.14999999963</v>
      </c>
      <c r="O86" s="9">
        <f t="shared" si="7"/>
        <v>-63684.14999999963</v>
      </c>
      <c r="P86" s="10" t="e">
        <f t="shared" si="8"/>
        <v>#DIV/0!</v>
      </c>
      <c r="Q86" s="11" t="e">
        <f t="shared" si="9"/>
        <v>#DIV/0!</v>
      </c>
      <c r="U86" s="9"/>
    </row>
    <row r="87" spans="1:21">
      <c r="A87" s="83">
        <v>2459</v>
      </c>
      <c r="B87" s="60" t="s">
        <v>294</v>
      </c>
      <c r="C87" s="78">
        <f t="shared" si="11"/>
        <v>195915.19679999998</v>
      </c>
      <c r="D87" s="79">
        <v>1</v>
      </c>
      <c r="E87" s="80">
        <f t="shared" si="10"/>
        <v>0.12</v>
      </c>
      <c r="F87" s="81">
        <v>1317307.71</v>
      </c>
      <c r="G87" s="81">
        <v>0</v>
      </c>
      <c r="H87" s="81">
        <v>95986.5</v>
      </c>
      <c r="I87" s="81">
        <v>12835</v>
      </c>
      <c r="J87" s="81">
        <v>167585.43</v>
      </c>
      <c r="K87" s="81">
        <v>38912</v>
      </c>
      <c r="L87" s="82">
        <f t="shared" si="6"/>
        <v>1632626.64</v>
      </c>
      <c r="M87" s="2">
        <f>Balances_form!$E$5</f>
        <v>0</v>
      </c>
      <c r="N87" s="82">
        <v>-7313.9600000001119</v>
      </c>
      <c r="O87" s="9">
        <f t="shared" si="7"/>
        <v>-7313.9600000001119</v>
      </c>
      <c r="P87" s="10" t="e">
        <f t="shared" si="8"/>
        <v>#DIV/0!</v>
      </c>
      <c r="Q87" s="11" t="str">
        <f t="shared" si="9"/>
        <v>Within Tolerance</v>
      </c>
      <c r="U87" s="9"/>
    </row>
    <row r="88" spans="1:21">
      <c r="A88" s="83">
        <v>2465</v>
      </c>
      <c r="B88" s="60" t="s">
        <v>295</v>
      </c>
      <c r="C88" s="78">
        <f t="shared" si="11"/>
        <v>296230.75920000003</v>
      </c>
      <c r="D88" s="79">
        <v>1</v>
      </c>
      <c r="E88" s="80">
        <f t="shared" si="10"/>
        <v>0.12</v>
      </c>
      <c r="F88" s="81">
        <v>2196239.58</v>
      </c>
      <c r="G88" s="81">
        <v>0</v>
      </c>
      <c r="H88" s="81">
        <v>104918.43999999997</v>
      </c>
      <c r="I88" s="81">
        <v>31330</v>
      </c>
      <c r="J88" s="81">
        <v>93921.64</v>
      </c>
      <c r="K88" s="81">
        <v>42180</v>
      </c>
      <c r="L88" s="82">
        <f t="shared" si="6"/>
        <v>2468589.66</v>
      </c>
      <c r="M88" s="2">
        <f>Balances_form!$E$5</f>
        <v>0</v>
      </c>
      <c r="N88" s="82">
        <v>-174840.55000000112</v>
      </c>
      <c r="O88" s="9">
        <f t="shared" si="7"/>
        <v>-174840.55000000112</v>
      </c>
      <c r="P88" s="10" t="e">
        <f t="shared" si="8"/>
        <v>#DIV/0!</v>
      </c>
      <c r="Q88" s="11" t="e">
        <f t="shared" si="9"/>
        <v>#DIV/0!</v>
      </c>
      <c r="U88" s="9"/>
    </row>
    <row r="89" spans="1:21">
      <c r="A89" s="83">
        <v>2471</v>
      </c>
      <c r="B89" s="60" t="s">
        <v>296</v>
      </c>
      <c r="C89" s="78">
        <f t="shared" si="11"/>
        <v>977766.05400000012</v>
      </c>
      <c r="D89" s="79">
        <v>1</v>
      </c>
      <c r="E89" s="80">
        <f t="shared" si="10"/>
        <v>0.12</v>
      </c>
      <c r="F89" s="81">
        <v>4875762.6100000003</v>
      </c>
      <c r="G89" s="81">
        <v>0</v>
      </c>
      <c r="H89" s="81">
        <v>2645242.27</v>
      </c>
      <c r="I89" s="81">
        <v>342105</v>
      </c>
      <c r="J89" s="81">
        <v>74595.570000000007</v>
      </c>
      <c r="K89" s="81">
        <v>210345</v>
      </c>
      <c r="L89" s="82">
        <f t="shared" si="6"/>
        <v>8148050.4500000011</v>
      </c>
      <c r="M89" s="2">
        <f>Balances_form!$E$5</f>
        <v>0</v>
      </c>
      <c r="N89" s="82">
        <v>-648785.91000000096</v>
      </c>
      <c r="O89" s="9">
        <f t="shared" si="7"/>
        <v>-648785.91000000096</v>
      </c>
      <c r="P89" s="10" t="e">
        <f t="shared" si="8"/>
        <v>#DIV/0!</v>
      </c>
      <c r="Q89" s="11" t="e">
        <f t="shared" si="9"/>
        <v>#DIV/0!</v>
      </c>
      <c r="U89" s="9"/>
    </row>
    <row r="90" spans="1:21">
      <c r="A90" s="83">
        <v>2474</v>
      </c>
      <c r="B90" s="60" t="s">
        <v>297</v>
      </c>
      <c r="C90" s="78">
        <f t="shared" si="11"/>
        <v>223001.622</v>
      </c>
      <c r="D90" s="79">
        <v>1</v>
      </c>
      <c r="E90" s="80">
        <f t="shared" si="10"/>
        <v>0.12</v>
      </c>
      <c r="F90" s="81">
        <v>1510382.6</v>
      </c>
      <c r="G90" s="81">
        <v>0</v>
      </c>
      <c r="H90" s="81">
        <v>150492.78</v>
      </c>
      <c r="I90" s="81">
        <v>91675</v>
      </c>
      <c r="J90" s="81">
        <v>82699</v>
      </c>
      <c r="K90" s="81">
        <v>23097.47</v>
      </c>
      <c r="L90" s="82">
        <f t="shared" si="6"/>
        <v>1858346.85</v>
      </c>
      <c r="M90" s="2">
        <f>Balances_form!$E$5</f>
        <v>0</v>
      </c>
      <c r="N90" s="82">
        <v>-132625.64000000001</v>
      </c>
      <c r="O90" s="9">
        <f t="shared" si="7"/>
        <v>-132625.64000000001</v>
      </c>
      <c r="P90" s="10" t="e">
        <f t="shared" si="8"/>
        <v>#DIV/0!</v>
      </c>
      <c r="Q90" s="11" t="e">
        <f t="shared" si="9"/>
        <v>#DIV/0!</v>
      </c>
      <c r="U90" s="9"/>
    </row>
    <row r="91" spans="1:21">
      <c r="A91" s="83">
        <v>2482</v>
      </c>
      <c r="B91" s="60" t="s">
        <v>298</v>
      </c>
      <c r="C91" s="78">
        <f t="shared" si="11"/>
        <v>292517.42879999999</v>
      </c>
      <c r="D91" s="79">
        <v>1</v>
      </c>
      <c r="E91" s="80">
        <f t="shared" si="10"/>
        <v>0.12</v>
      </c>
      <c r="F91" s="81">
        <v>2127092.91</v>
      </c>
      <c r="G91" s="81">
        <v>0</v>
      </c>
      <c r="H91" s="81">
        <v>118986.69</v>
      </c>
      <c r="I91" s="81">
        <v>40105</v>
      </c>
      <c r="J91" s="81">
        <v>103175.64</v>
      </c>
      <c r="K91" s="81">
        <v>48285</v>
      </c>
      <c r="L91" s="82">
        <f t="shared" si="6"/>
        <v>2437645.2400000002</v>
      </c>
      <c r="M91" s="2">
        <f>Balances_form!$E$5</f>
        <v>0</v>
      </c>
      <c r="N91" s="82">
        <v>-63814.749999999709</v>
      </c>
      <c r="O91" s="9">
        <f t="shared" si="7"/>
        <v>-63814.749999999709</v>
      </c>
      <c r="P91" s="10" t="e">
        <f t="shared" si="8"/>
        <v>#DIV/0!</v>
      </c>
      <c r="Q91" s="11" t="e">
        <f t="shared" si="9"/>
        <v>#DIV/0!</v>
      </c>
      <c r="U91" s="9"/>
    </row>
    <row r="92" spans="1:21">
      <c r="A92" s="83">
        <v>2490</v>
      </c>
      <c r="B92" s="60" t="s">
        <v>299</v>
      </c>
      <c r="C92" s="78">
        <f t="shared" si="11"/>
        <v>173879.41680000001</v>
      </c>
      <c r="D92" s="79">
        <v>1</v>
      </c>
      <c r="E92" s="80">
        <f t="shared" si="10"/>
        <v>0.12</v>
      </c>
      <c r="F92" s="81">
        <v>1135924.2600000002</v>
      </c>
      <c r="G92" s="81">
        <v>0</v>
      </c>
      <c r="H92" s="81">
        <v>188104.24</v>
      </c>
      <c r="I92" s="81">
        <v>42420</v>
      </c>
      <c r="J92" s="81">
        <v>44806.64</v>
      </c>
      <c r="K92" s="81">
        <v>37740</v>
      </c>
      <c r="L92" s="82">
        <f t="shared" si="6"/>
        <v>1448995.1400000001</v>
      </c>
      <c r="M92" s="2">
        <f>Balances_form!$E$5</f>
        <v>0</v>
      </c>
      <c r="N92" s="82">
        <v>-108811.41999999997</v>
      </c>
      <c r="O92" s="9">
        <f t="shared" si="7"/>
        <v>-108811.41999999997</v>
      </c>
      <c r="P92" s="10" t="e">
        <f t="shared" si="8"/>
        <v>#DIV/0!</v>
      </c>
      <c r="Q92" s="11" t="e">
        <f t="shared" si="9"/>
        <v>#DIV/0!</v>
      </c>
      <c r="U92" s="9"/>
    </row>
    <row r="93" spans="1:21">
      <c r="A93" s="83">
        <v>2509</v>
      </c>
      <c r="B93" s="60" t="s">
        <v>300</v>
      </c>
      <c r="C93" s="78">
        <f t="shared" si="11"/>
        <v>277382.54759999999</v>
      </c>
      <c r="D93" s="79">
        <v>1</v>
      </c>
      <c r="E93" s="80">
        <f t="shared" si="10"/>
        <v>0.12</v>
      </c>
      <c r="F93" s="81">
        <v>2017451.6</v>
      </c>
      <c r="G93" s="81">
        <v>0</v>
      </c>
      <c r="H93" s="81">
        <v>24709.63</v>
      </c>
      <c r="I93" s="81">
        <v>119285</v>
      </c>
      <c r="J93" s="81">
        <v>88470</v>
      </c>
      <c r="K93" s="81">
        <v>61605</v>
      </c>
      <c r="L93" s="82">
        <f t="shared" si="6"/>
        <v>2311521.23</v>
      </c>
      <c r="M93" s="2">
        <f>Balances_form!$E$5</f>
        <v>0</v>
      </c>
      <c r="N93" s="82">
        <v>-98659.690000000017</v>
      </c>
      <c r="O93" s="9">
        <f t="shared" si="7"/>
        <v>-98659.690000000017</v>
      </c>
      <c r="P93" s="10" t="e">
        <f t="shared" si="8"/>
        <v>#DIV/0!</v>
      </c>
      <c r="Q93" s="11" t="e">
        <f t="shared" si="9"/>
        <v>#DIV/0!</v>
      </c>
      <c r="U93" s="9"/>
    </row>
    <row r="94" spans="1:21">
      <c r="A94" s="83">
        <v>2510</v>
      </c>
      <c r="B94" s="60" t="s">
        <v>301</v>
      </c>
      <c r="C94" s="78">
        <f t="shared" si="11"/>
        <v>311993.14679999999</v>
      </c>
      <c r="D94" s="79">
        <v>1</v>
      </c>
      <c r="E94" s="80">
        <f t="shared" si="10"/>
        <v>0.12</v>
      </c>
      <c r="F94" s="81">
        <v>2187027.42</v>
      </c>
      <c r="G94" s="81">
        <v>0</v>
      </c>
      <c r="H94" s="81">
        <v>123868.97</v>
      </c>
      <c r="I94" s="81">
        <v>195375</v>
      </c>
      <c r="J94" s="81">
        <v>86512</v>
      </c>
      <c r="K94" s="81">
        <v>7159.5</v>
      </c>
      <c r="L94" s="82">
        <f t="shared" si="6"/>
        <v>2599942.89</v>
      </c>
      <c r="M94" s="2">
        <f>Balances_form!$E$5</f>
        <v>0</v>
      </c>
      <c r="N94" s="82">
        <v>-113211.06000000048</v>
      </c>
      <c r="O94" s="9">
        <f t="shared" si="7"/>
        <v>-113211.06000000048</v>
      </c>
      <c r="P94" s="10" t="e">
        <f t="shared" si="8"/>
        <v>#DIV/0!</v>
      </c>
      <c r="Q94" s="11" t="e">
        <f t="shared" si="9"/>
        <v>#DIV/0!</v>
      </c>
      <c r="U94" s="9"/>
    </row>
    <row r="95" spans="1:21">
      <c r="A95" s="83">
        <v>2514</v>
      </c>
      <c r="B95" s="60" t="s">
        <v>302</v>
      </c>
      <c r="C95" s="78">
        <f t="shared" si="11"/>
        <v>141622.30680000002</v>
      </c>
      <c r="D95" s="79">
        <v>1</v>
      </c>
      <c r="E95" s="80">
        <f t="shared" si="10"/>
        <v>0.12</v>
      </c>
      <c r="F95" s="81">
        <v>968778.27</v>
      </c>
      <c r="G95" s="81">
        <v>0</v>
      </c>
      <c r="H95" s="81">
        <v>50232.619999999995</v>
      </c>
      <c r="I95" s="81">
        <v>59750</v>
      </c>
      <c r="J95" s="81">
        <v>81215</v>
      </c>
      <c r="K95" s="81">
        <v>20210</v>
      </c>
      <c r="L95" s="82">
        <f t="shared" si="6"/>
        <v>1180185.8900000001</v>
      </c>
      <c r="M95" s="2">
        <f>Balances_form!$E$5</f>
        <v>0</v>
      </c>
      <c r="N95" s="82">
        <v>-718</v>
      </c>
      <c r="O95" s="9">
        <f t="shared" si="7"/>
        <v>-718</v>
      </c>
      <c r="P95" s="10" t="e">
        <f t="shared" si="8"/>
        <v>#DIV/0!</v>
      </c>
      <c r="Q95" s="11" t="str">
        <f t="shared" si="9"/>
        <v>Within Tolerance</v>
      </c>
      <c r="U95" s="9"/>
    </row>
    <row r="96" spans="1:21">
      <c r="A96" s="83">
        <v>2519</v>
      </c>
      <c r="B96" s="60" t="s">
        <v>303</v>
      </c>
      <c r="C96" s="78">
        <f t="shared" si="11"/>
        <v>105920.37959999999</v>
      </c>
      <c r="D96" s="79">
        <v>1</v>
      </c>
      <c r="E96" s="80">
        <f t="shared" si="10"/>
        <v>0.12</v>
      </c>
      <c r="F96" s="81">
        <v>767619.09</v>
      </c>
      <c r="G96" s="81">
        <v>0</v>
      </c>
      <c r="H96" s="81">
        <v>15839.74</v>
      </c>
      <c r="I96" s="81">
        <v>44250</v>
      </c>
      <c r="J96" s="81">
        <v>32880</v>
      </c>
      <c r="K96" s="81">
        <v>22081</v>
      </c>
      <c r="L96" s="82">
        <f t="shared" si="6"/>
        <v>882669.83</v>
      </c>
      <c r="M96" s="2">
        <f>Balances_form!$E$5</f>
        <v>0</v>
      </c>
      <c r="N96" s="82">
        <v>-1924.7299999996685</v>
      </c>
      <c r="O96" s="9">
        <f t="shared" si="7"/>
        <v>-1924.7299999996685</v>
      </c>
      <c r="P96" s="10" t="e">
        <f t="shared" si="8"/>
        <v>#DIV/0!</v>
      </c>
      <c r="Q96" s="11" t="str">
        <f t="shared" si="9"/>
        <v>Within Tolerance</v>
      </c>
      <c r="U96" s="9"/>
    </row>
    <row r="97" spans="1:21">
      <c r="A97" s="83">
        <v>2520</v>
      </c>
      <c r="B97" s="60" t="s">
        <v>304</v>
      </c>
      <c r="C97" s="78">
        <f t="shared" si="11"/>
        <v>439402.31040000002</v>
      </c>
      <c r="D97" s="79">
        <v>1</v>
      </c>
      <c r="E97" s="80">
        <f t="shared" si="10"/>
        <v>0.12</v>
      </c>
      <c r="F97" s="81">
        <v>3164144.9400000004</v>
      </c>
      <c r="G97" s="81">
        <v>0</v>
      </c>
      <c r="H97" s="81">
        <v>176304.98</v>
      </c>
      <c r="I97" s="81">
        <v>132820</v>
      </c>
      <c r="J97" s="81">
        <v>122371</v>
      </c>
      <c r="K97" s="81">
        <v>66045</v>
      </c>
      <c r="L97" s="82">
        <f t="shared" si="6"/>
        <v>3661685.9200000004</v>
      </c>
      <c r="M97" s="2">
        <f>Balances_form!$E$5</f>
        <v>0</v>
      </c>
      <c r="N97" s="82">
        <v>-126531.46000000018</v>
      </c>
      <c r="O97" s="9">
        <f t="shared" si="7"/>
        <v>-126531.46000000018</v>
      </c>
      <c r="P97" s="10" t="e">
        <f t="shared" si="8"/>
        <v>#DIV/0!</v>
      </c>
      <c r="Q97" s="11" t="e">
        <f t="shared" si="9"/>
        <v>#DIV/0!</v>
      </c>
      <c r="U97" s="9"/>
    </row>
    <row r="98" spans="1:21">
      <c r="A98" s="83">
        <v>2524</v>
      </c>
      <c r="B98" s="60" t="s">
        <v>305</v>
      </c>
      <c r="C98" s="78">
        <f t="shared" si="11"/>
        <v>160564.5624</v>
      </c>
      <c r="D98" s="79">
        <v>1</v>
      </c>
      <c r="E98" s="80">
        <f t="shared" si="10"/>
        <v>0.12</v>
      </c>
      <c r="F98" s="81">
        <v>1093614.3500000001</v>
      </c>
      <c r="G98" s="81">
        <v>0</v>
      </c>
      <c r="H98" s="81">
        <v>88323.67</v>
      </c>
      <c r="I98" s="81">
        <v>88290</v>
      </c>
      <c r="J98" s="81">
        <v>51592</v>
      </c>
      <c r="K98" s="81">
        <v>16218</v>
      </c>
      <c r="L98" s="82">
        <f t="shared" si="6"/>
        <v>1338038.02</v>
      </c>
      <c r="M98" s="2">
        <f>Balances_form!$E$5</f>
        <v>0</v>
      </c>
      <c r="N98" s="82">
        <v>-87633.120000000054</v>
      </c>
      <c r="O98" s="9">
        <f t="shared" si="7"/>
        <v>-87633.120000000054</v>
      </c>
      <c r="P98" s="10" t="e">
        <f t="shared" si="8"/>
        <v>#DIV/0!</v>
      </c>
      <c r="Q98" s="11" t="e">
        <f t="shared" si="9"/>
        <v>#DIV/0!</v>
      </c>
      <c r="U98" s="9"/>
    </row>
    <row r="99" spans="1:21">
      <c r="A99" s="83">
        <v>2525</v>
      </c>
      <c r="B99" s="60" t="s">
        <v>306</v>
      </c>
      <c r="C99" s="78">
        <f t="shared" si="11"/>
        <v>290722.34879999998</v>
      </c>
      <c r="D99" s="79">
        <v>1</v>
      </c>
      <c r="E99" s="80">
        <f t="shared" si="10"/>
        <v>0.12</v>
      </c>
      <c r="F99" s="81">
        <v>2101048.86</v>
      </c>
      <c r="G99" s="81">
        <v>0</v>
      </c>
      <c r="H99" s="81">
        <v>48770.380000000005</v>
      </c>
      <c r="I99" s="81">
        <v>153200</v>
      </c>
      <c r="J99" s="81">
        <v>74712</v>
      </c>
      <c r="K99" s="81">
        <v>44955</v>
      </c>
      <c r="L99" s="82">
        <f t="shared" si="6"/>
        <v>2422686.2399999998</v>
      </c>
      <c r="M99" s="2">
        <f>Balances_form!$E$5</f>
        <v>0</v>
      </c>
      <c r="N99" s="82">
        <v>-9989.8100000004124</v>
      </c>
      <c r="O99" s="9">
        <f t="shared" si="7"/>
        <v>-9989.8100000004124</v>
      </c>
      <c r="P99" s="10" t="e">
        <f t="shared" si="8"/>
        <v>#DIV/0!</v>
      </c>
      <c r="Q99" s="11" t="str">
        <f t="shared" si="9"/>
        <v>Within Tolerance</v>
      </c>
      <c r="U99" s="9"/>
    </row>
    <row r="100" spans="1:21">
      <c r="A100" s="83">
        <v>2530</v>
      </c>
      <c r="B100" s="60" t="s">
        <v>307</v>
      </c>
      <c r="C100" s="78">
        <f t="shared" si="11"/>
        <v>364616.91599999997</v>
      </c>
      <c r="D100" s="79">
        <v>1</v>
      </c>
      <c r="E100" s="80">
        <f t="shared" si="10"/>
        <v>0.12</v>
      </c>
      <c r="F100" s="81">
        <v>2739691.92</v>
      </c>
      <c r="G100" s="81">
        <v>0</v>
      </c>
      <c r="H100" s="81">
        <v>65821.38</v>
      </c>
      <c r="I100" s="81">
        <v>100290</v>
      </c>
      <c r="J100" s="81">
        <v>83276</v>
      </c>
      <c r="K100" s="81">
        <v>49395</v>
      </c>
      <c r="L100" s="82">
        <f t="shared" si="6"/>
        <v>3038474.3</v>
      </c>
      <c r="M100" s="2">
        <f>Balances_form!$E$5</f>
        <v>0</v>
      </c>
      <c r="N100" s="82">
        <v>-197243.92000000057</v>
      </c>
      <c r="O100" s="9">
        <f t="shared" si="7"/>
        <v>-197243.92000000057</v>
      </c>
      <c r="P100" s="10" t="e">
        <f t="shared" si="8"/>
        <v>#DIV/0!</v>
      </c>
      <c r="Q100" s="11" t="e">
        <f t="shared" si="9"/>
        <v>#DIV/0!</v>
      </c>
      <c r="U100" s="9"/>
    </row>
    <row r="101" spans="1:21">
      <c r="A101" s="83">
        <v>2532</v>
      </c>
      <c r="B101" s="60" t="s">
        <v>308</v>
      </c>
      <c r="C101" s="78">
        <f t="shared" si="11"/>
        <v>127769.44560000001</v>
      </c>
      <c r="D101" s="79">
        <v>1</v>
      </c>
      <c r="E101" s="80">
        <f t="shared" si="10"/>
        <v>0.12</v>
      </c>
      <c r="F101" s="81">
        <v>878532.9</v>
      </c>
      <c r="G101" s="81">
        <v>0</v>
      </c>
      <c r="H101" s="81">
        <v>97104.19</v>
      </c>
      <c r="I101" s="81">
        <v>26070</v>
      </c>
      <c r="J101" s="81">
        <v>44325.29</v>
      </c>
      <c r="K101" s="81">
        <v>18713</v>
      </c>
      <c r="L101" s="82">
        <f t="shared" si="6"/>
        <v>1064745.3800000001</v>
      </c>
      <c r="M101" s="2">
        <f>Balances_form!$E$5</f>
        <v>0</v>
      </c>
      <c r="N101" s="82">
        <v>-125156.71000000049</v>
      </c>
      <c r="O101" s="9">
        <f t="shared" si="7"/>
        <v>-125156.71000000049</v>
      </c>
      <c r="P101" s="10" t="e">
        <f t="shared" si="8"/>
        <v>#DIV/0!</v>
      </c>
      <c r="Q101" s="11" t="e">
        <f t="shared" si="9"/>
        <v>#DIV/0!</v>
      </c>
      <c r="U101" s="9"/>
    </row>
    <row r="102" spans="1:21">
      <c r="A102" s="83">
        <v>2539</v>
      </c>
      <c r="B102" s="60" t="s">
        <v>309</v>
      </c>
      <c r="C102" s="78">
        <f t="shared" si="11"/>
        <v>150433.11479999998</v>
      </c>
      <c r="D102" s="79">
        <v>1</v>
      </c>
      <c r="E102" s="80">
        <f t="shared" si="10"/>
        <v>0.12</v>
      </c>
      <c r="F102" s="81">
        <v>1070638.8599999999</v>
      </c>
      <c r="G102" s="81">
        <v>0</v>
      </c>
      <c r="H102" s="81">
        <v>85525.930000000008</v>
      </c>
      <c r="I102" s="81">
        <v>27585</v>
      </c>
      <c r="J102" s="81">
        <v>47654</v>
      </c>
      <c r="K102" s="81">
        <v>22205.5</v>
      </c>
      <c r="L102" s="82">
        <f t="shared" si="6"/>
        <v>1253609.2899999998</v>
      </c>
      <c r="M102" s="2">
        <f>Balances_form!$E$5</f>
        <v>0</v>
      </c>
      <c r="N102" s="82">
        <v>-32374.409999999669</v>
      </c>
      <c r="O102" s="9">
        <f t="shared" si="7"/>
        <v>-32374.409999999669</v>
      </c>
      <c r="P102" s="10" t="e">
        <f t="shared" si="8"/>
        <v>#DIV/0!</v>
      </c>
      <c r="Q102" s="11" t="e">
        <f t="shared" si="9"/>
        <v>#DIV/0!</v>
      </c>
      <c r="U102" s="9"/>
    </row>
    <row r="103" spans="1:21">
      <c r="A103" s="83">
        <v>2545</v>
      </c>
      <c r="B103" s="60" t="s">
        <v>310</v>
      </c>
      <c r="C103" s="78">
        <f t="shared" si="11"/>
        <v>295296.84239999996</v>
      </c>
      <c r="D103" s="79">
        <v>1</v>
      </c>
      <c r="E103" s="80">
        <f t="shared" si="10"/>
        <v>0.12</v>
      </c>
      <c r="F103" s="81">
        <v>2115209.7000000002</v>
      </c>
      <c r="G103" s="81">
        <v>0</v>
      </c>
      <c r="H103" s="81">
        <v>98452.32</v>
      </c>
      <c r="I103" s="81">
        <v>104085</v>
      </c>
      <c r="J103" s="81">
        <v>89780</v>
      </c>
      <c r="K103" s="81">
        <v>53280</v>
      </c>
      <c r="L103" s="82">
        <f t="shared" si="6"/>
        <v>2460807.02</v>
      </c>
      <c r="M103" s="2">
        <f>Balances_form!$E$5</f>
        <v>0</v>
      </c>
      <c r="N103" s="82">
        <v>-240350.85999999958</v>
      </c>
      <c r="O103" s="9">
        <f t="shared" si="7"/>
        <v>-240350.85999999958</v>
      </c>
      <c r="P103" s="10" t="e">
        <f t="shared" si="8"/>
        <v>#DIV/0!</v>
      </c>
      <c r="Q103" s="11" t="e">
        <f t="shared" si="9"/>
        <v>#DIV/0!</v>
      </c>
      <c r="U103" s="9"/>
    </row>
    <row r="104" spans="1:21">
      <c r="A104" s="83">
        <v>2552</v>
      </c>
      <c r="B104" s="60" t="s">
        <v>311</v>
      </c>
      <c r="C104" s="78">
        <f t="shared" si="11"/>
        <v>287276.87160000001</v>
      </c>
      <c r="D104" s="79">
        <v>1</v>
      </c>
      <c r="E104" s="80">
        <f t="shared" si="10"/>
        <v>0.12</v>
      </c>
      <c r="F104" s="81">
        <v>2087329.67</v>
      </c>
      <c r="G104" s="81">
        <v>0</v>
      </c>
      <c r="H104" s="81">
        <v>146203.97</v>
      </c>
      <c r="I104" s="81">
        <v>48755</v>
      </c>
      <c r="J104" s="81">
        <v>80965.290000000008</v>
      </c>
      <c r="K104" s="81">
        <v>30720</v>
      </c>
      <c r="L104" s="82">
        <f t="shared" si="6"/>
        <v>2393973.9300000002</v>
      </c>
      <c r="M104" s="2">
        <f>Balances_form!$E$5</f>
        <v>0</v>
      </c>
      <c r="N104" s="82">
        <v>-256312.29999999993</v>
      </c>
      <c r="O104" s="9">
        <f t="shared" si="7"/>
        <v>-256312.29999999993</v>
      </c>
      <c r="P104" s="10" t="e">
        <f t="shared" si="8"/>
        <v>#DIV/0!</v>
      </c>
      <c r="Q104" s="11" t="e">
        <f t="shared" si="9"/>
        <v>#DIV/0!</v>
      </c>
      <c r="U104" s="9"/>
    </row>
    <row r="105" spans="1:21">
      <c r="A105" s="83">
        <v>2559</v>
      </c>
      <c r="B105" s="60" t="s">
        <v>312</v>
      </c>
      <c r="C105" s="78">
        <f t="shared" si="11"/>
        <v>138113.10599999997</v>
      </c>
      <c r="D105" s="79">
        <v>1</v>
      </c>
      <c r="E105" s="80">
        <f t="shared" si="10"/>
        <v>0.12</v>
      </c>
      <c r="F105" s="81">
        <v>984662.15999999992</v>
      </c>
      <c r="G105" s="81">
        <v>0</v>
      </c>
      <c r="H105" s="81">
        <v>42950.89</v>
      </c>
      <c r="I105" s="81">
        <v>58085</v>
      </c>
      <c r="J105" s="81">
        <v>45035</v>
      </c>
      <c r="K105" s="81">
        <v>20209.5</v>
      </c>
      <c r="L105" s="82">
        <f t="shared" si="6"/>
        <v>1150942.5499999998</v>
      </c>
      <c r="M105" s="2">
        <f>Balances_form!$E$5</f>
        <v>0</v>
      </c>
      <c r="N105" s="82">
        <v>-22226.079999999914</v>
      </c>
      <c r="O105" s="9">
        <f t="shared" si="7"/>
        <v>-22226.079999999914</v>
      </c>
      <c r="P105" s="10" t="e">
        <f t="shared" si="8"/>
        <v>#DIV/0!</v>
      </c>
      <c r="Q105" s="11" t="e">
        <f t="shared" si="9"/>
        <v>#DIV/0!</v>
      </c>
      <c r="U105" s="9"/>
    </row>
    <row r="106" spans="1:21">
      <c r="A106" s="83">
        <v>2562</v>
      </c>
      <c r="B106" s="60" t="s">
        <v>313</v>
      </c>
      <c r="C106" s="78">
        <f t="shared" si="11"/>
        <v>150814.524</v>
      </c>
      <c r="D106" s="79">
        <v>1</v>
      </c>
      <c r="E106" s="80">
        <f t="shared" si="10"/>
        <v>0.12</v>
      </c>
      <c r="F106" s="81">
        <v>1114782.83</v>
      </c>
      <c r="G106" s="81">
        <v>0</v>
      </c>
      <c r="H106" s="81">
        <v>6070.62</v>
      </c>
      <c r="I106" s="81">
        <v>72720</v>
      </c>
      <c r="J106" s="81">
        <v>42880</v>
      </c>
      <c r="K106" s="81">
        <v>20334.25</v>
      </c>
      <c r="L106" s="82">
        <f t="shared" ref="L106:L150" si="12">SUM(F106:K106)</f>
        <v>1256787.7000000002</v>
      </c>
      <c r="M106" s="2">
        <f>Balances_form!$E$5</f>
        <v>0</v>
      </c>
      <c r="N106" s="82">
        <v>-23063.21000000037</v>
      </c>
      <c r="O106" s="9">
        <f t="shared" si="7"/>
        <v>-23063.21000000037</v>
      </c>
      <c r="P106" s="10" t="e">
        <f t="shared" si="8"/>
        <v>#DIV/0!</v>
      </c>
      <c r="Q106" s="11" t="e">
        <f t="shared" si="9"/>
        <v>#DIV/0!</v>
      </c>
      <c r="U106" s="9"/>
    </row>
    <row r="107" spans="1:21">
      <c r="A107" s="83">
        <v>2574</v>
      </c>
      <c r="B107" s="60" t="s">
        <v>314</v>
      </c>
      <c r="C107" s="78">
        <f t="shared" si="11"/>
        <v>180424.8492</v>
      </c>
      <c r="D107" s="79">
        <v>1</v>
      </c>
      <c r="E107" s="80">
        <f t="shared" si="10"/>
        <v>0.12</v>
      </c>
      <c r="F107" s="81">
        <v>1212808.98</v>
      </c>
      <c r="G107" s="81">
        <v>0</v>
      </c>
      <c r="H107" s="81">
        <v>99875.430000000008</v>
      </c>
      <c r="I107" s="81">
        <v>72670</v>
      </c>
      <c r="J107" s="81">
        <v>90538</v>
      </c>
      <c r="K107" s="81">
        <v>27648</v>
      </c>
      <c r="L107" s="82">
        <f t="shared" si="12"/>
        <v>1503540.41</v>
      </c>
      <c r="M107" s="2">
        <f>Balances_form!$E$5</f>
        <v>0</v>
      </c>
      <c r="N107" s="82">
        <v>30164.210000000065</v>
      </c>
      <c r="O107" s="9">
        <f t="shared" si="7"/>
        <v>30164.210000000065</v>
      </c>
      <c r="P107" s="10" t="e">
        <f t="shared" si="8"/>
        <v>#DIV/0!</v>
      </c>
      <c r="Q107" s="11" t="e">
        <f t="shared" si="9"/>
        <v>#DIV/0!</v>
      </c>
      <c r="U107" s="9"/>
    </row>
    <row r="108" spans="1:21">
      <c r="A108" s="83">
        <v>2578</v>
      </c>
      <c r="B108" s="60" t="s">
        <v>315</v>
      </c>
      <c r="C108" s="78">
        <f t="shared" si="11"/>
        <v>105104.07839999998</v>
      </c>
      <c r="D108" s="79">
        <v>1</v>
      </c>
      <c r="E108" s="80">
        <f t="shared" si="10"/>
        <v>0.12</v>
      </c>
      <c r="F108" s="81">
        <v>743914.92999999993</v>
      </c>
      <c r="G108" s="81">
        <v>0</v>
      </c>
      <c r="H108" s="81">
        <v>49248.639999999999</v>
      </c>
      <c r="I108" s="81">
        <v>32096</v>
      </c>
      <c r="J108" s="81">
        <v>34016</v>
      </c>
      <c r="K108" s="81">
        <v>16591.75</v>
      </c>
      <c r="L108" s="82">
        <f t="shared" si="12"/>
        <v>875867.32</v>
      </c>
      <c r="M108" s="2">
        <f>Balances_form!$E$5</f>
        <v>0</v>
      </c>
      <c r="N108" s="82">
        <v>-80856.830000000162</v>
      </c>
      <c r="O108" s="9">
        <f t="shared" si="7"/>
        <v>-80856.830000000162</v>
      </c>
      <c r="P108" s="10" t="e">
        <f t="shared" si="8"/>
        <v>#DIV/0!</v>
      </c>
      <c r="Q108" s="11" t="e">
        <f t="shared" si="9"/>
        <v>#DIV/0!</v>
      </c>
      <c r="U108" s="9"/>
    </row>
    <row r="109" spans="1:21">
      <c r="A109" s="83">
        <v>2586</v>
      </c>
      <c r="B109" s="60" t="s">
        <v>316</v>
      </c>
      <c r="C109" s="78">
        <f t="shared" si="11"/>
        <v>182519.78759999995</v>
      </c>
      <c r="D109" s="79">
        <v>1</v>
      </c>
      <c r="E109" s="80">
        <f t="shared" si="10"/>
        <v>0.12</v>
      </c>
      <c r="F109" s="81">
        <v>1232430.18</v>
      </c>
      <c r="G109" s="81">
        <v>0</v>
      </c>
      <c r="H109" s="81">
        <v>99171.62</v>
      </c>
      <c r="I109" s="81">
        <v>121100</v>
      </c>
      <c r="J109" s="81">
        <v>49084.93</v>
      </c>
      <c r="K109" s="81">
        <v>19211.5</v>
      </c>
      <c r="L109" s="82">
        <f t="shared" si="12"/>
        <v>1520998.2299999997</v>
      </c>
      <c r="M109" s="2">
        <f>Balances_form!$E$5</f>
        <v>0</v>
      </c>
      <c r="N109" s="82">
        <v>-96478.74000000034</v>
      </c>
      <c r="O109" s="9">
        <f t="shared" si="7"/>
        <v>-96478.74000000034</v>
      </c>
      <c r="P109" s="10" t="e">
        <f t="shared" si="8"/>
        <v>#DIV/0!</v>
      </c>
      <c r="Q109" s="11" t="e">
        <f t="shared" si="9"/>
        <v>#DIV/0!</v>
      </c>
      <c r="U109" s="9"/>
    </row>
    <row r="110" spans="1:21">
      <c r="A110" s="83">
        <v>2603</v>
      </c>
      <c r="B110" s="60" t="s">
        <v>317</v>
      </c>
      <c r="C110" s="78">
        <f t="shared" si="11"/>
        <v>426267.99239999993</v>
      </c>
      <c r="D110" s="79">
        <v>1</v>
      </c>
      <c r="E110" s="80">
        <f t="shared" si="10"/>
        <v>0.12</v>
      </c>
      <c r="F110" s="81">
        <v>2611758.8199999998</v>
      </c>
      <c r="G110" s="81">
        <v>0</v>
      </c>
      <c r="H110" s="81">
        <v>534834.15999999992</v>
      </c>
      <c r="I110" s="81">
        <v>273950</v>
      </c>
      <c r="J110" s="81">
        <v>77577.790000000008</v>
      </c>
      <c r="K110" s="81">
        <v>54112.5</v>
      </c>
      <c r="L110" s="82">
        <f t="shared" si="12"/>
        <v>3552233.2699999996</v>
      </c>
      <c r="M110" s="2">
        <f>Balances_form!$E$5</f>
        <v>0</v>
      </c>
      <c r="N110" s="82">
        <v>-128360.46999999846</v>
      </c>
      <c r="O110" s="9">
        <f t="shared" si="7"/>
        <v>-128360.46999999846</v>
      </c>
      <c r="P110" s="10" t="e">
        <f t="shared" si="8"/>
        <v>#DIV/0!</v>
      </c>
      <c r="Q110" s="11" t="e">
        <f t="shared" si="9"/>
        <v>#DIV/0!</v>
      </c>
      <c r="U110" s="9"/>
    </row>
    <row r="111" spans="1:21">
      <c r="A111" s="83">
        <v>2607</v>
      </c>
      <c r="B111" s="60" t="s">
        <v>318</v>
      </c>
      <c r="C111" s="78">
        <f t="shared" si="11"/>
        <v>174977.55600000001</v>
      </c>
      <c r="D111" s="79">
        <v>1</v>
      </c>
      <c r="E111" s="80">
        <f t="shared" si="10"/>
        <v>0.12</v>
      </c>
      <c r="F111" s="81">
        <v>1190250.6600000001</v>
      </c>
      <c r="G111" s="81">
        <v>0</v>
      </c>
      <c r="H111" s="81">
        <v>70858.64</v>
      </c>
      <c r="I111" s="81">
        <v>157960</v>
      </c>
      <c r="J111" s="81">
        <v>19616</v>
      </c>
      <c r="K111" s="81">
        <v>19461</v>
      </c>
      <c r="L111" s="82">
        <f t="shared" si="12"/>
        <v>1458146.3</v>
      </c>
      <c r="M111" s="2">
        <f>Balances_form!$E$5</f>
        <v>0</v>
      </c>
      <c r="N111" s="82">
        <v>-173566.57999999996</v>
      </c>
      <c r="O111" s="9">
        <f t="shared" ref="O111:O160" si="13">N111-M111</f>
        <v>-173566.57999999996</v>
      </c>
      <c r="P111" s="10" t="e">
        <f t="shared" ref="P111:P160" si="14">O111/M111</f>
        <v>#DIV/0!</v>
      </c>
      <c r="Q111" s="11" t="e">
        <f t="shared" ref="Q111:Q160" si="15">IF(AND(O111&lt;$Q$2,O111&gt;-$Q$2),"Within Tolerance",IF(AND(P111&lt;$R$2,P111&gt;-$R$2),"Within Tolerance",O111))</f>
        <v>#DIV/0!</v>
      </c>
      <c r="U111" s="9"/>
    </row>
    <row r="112" spans="1:21">
      <c r="A112" s="83">
        <v>2615</v>
      </c>
      <c r="B112" s="60" t="s">
        <v>319</v>
      </c>
      <c r="C112" s="78">
        <f t="shared" si="11"/>
        <v>160402.80839999998</v>
      </c>
      <c r="D112" s="79">
        <v>1</v>
      </c>
      <c r="E112" s="80">
        <f t="shared" si="10"/>
        <v>0.12</v>
      </c>
      <c r="F112" s="81">
        <v>1175220.8499999999</v>
      </c>
      <c r="G112" s="81">
        <v>0</v>
      </c>
      <c r="H112" s="81">
        <v>43304.97</v>
      </c>
      <c r="I112" s="81">
        <v>50180</v>
      </c>
      <c r="J112" s="81">
        <v>46153</v>
      </c>
      <c r="K112" s="81">
        <v>21831.25</v>
      </c>
      <c r="L112" s="82">
        <f t="shared" si="12"/>
        <v>1336690.0699999998</v>
      </c>
      <c r="M112" s="2">
        <f>Balances_form!$E$5</f>
        <v>0</v>
      </c>
      <c r="N112" s="82">
        <v>-13043.489999999307</v>
      </c>
      <c r="O112" s="9">
        <f t="shared" si="13"/>
        <v>-13043.489999999307</v>
      </c>
      <c r="P112" s="10" t="e">
        <f t="shared" si="14"/>
        <v>#DIV/0!</v>
      </c>
      <c r="Q112" s="11" t="e">
        <f t="shared" si="15"/>
        <v>#DIV/0!</v>
      </c>
      <c r="U112" s="9"/>
    </row>
    <row r="113" spans="1:21">
      <c r="A113" s="83">
        <v>2627</v>
      </c>
      <c r="B113" s="60" t="s">
        <v>320</v>
      </c>
      <c r="C113" s="78">
        <f t="shared" si="11"/>
        <v>178267.13519999996</v>
      </c>
      <c r="D113" s="79">
        <v>1</v>
      </c>
      <c r="E113" s="80">
        <f t="shared" si="10"/>
        <v>0.12</v>
      </c>
      <c r="F113" s="81">
        <v>1250878.2</v>
      </c>
      <c r="G113" s="81">
        <v>0</v>
      </c>
      <c r="H113" s="81">
        <v>101314.12</v>
      </c>
      <c r="I113" s="81">
        <v>89735</v>
      </c>
      <c r="J113" s="81">
        <v>19430.64</v>
      </c>
      <c r="K113" s="81">
        <v>24201.5</v>
      </c>
      <c r="L113" s="82">
        <f t="shared" si="12"/>
        <v>1485559.4599999997</v>
      </c>
      <c r="M113" s="2">
        <f>Balances_form!$E$5</f>
        <v>0</v>
      </c>
      <c r="N113" s="82">
        <v>-188554.14000000031</v>
      </c>
      <c r="O113" s="9">
        <f t="shared" si="13"/>
        <v>-188554.14000000031</v>
      </c>
      <c r="P113" s="10" t="e">
        <f t="shared" si="14"/>
        <v>#DIV/0!</v>
      </c>
      <c r="Q113" s="11" t="e">
        <f t="shared" si="15"/>
        <v>#DIV/0!</v>
      </c>
      <c r="U113" s="9"/>
    </row>
    <row r="114" spans="1:21">
      <c r="A114" s="83">
        <v>2632</v>
      </c>
      <c r="B114" s="60" t="s">
        <v>321</v>
      </c>
      <c r="C114" s="78">
        <f t="shared" si="11"/>
        <v>400814.78399999999</v>
      </c>
      <c r="D114" s="79">
        <v>1</v>
      </c>
      <c r="E114" s="80">
        <f t="shared" si="10"/>
        <v>0.12</v>
      </c>
      <c r="F114" s="81">
        <v>2804315.6900000004</v>
      </c>
      <c r="G114" s="81">
        <v>0</v>
      </c>
      <c r="H114" s="81">
        <v>184297.51</v>
      </c>
      <c r="I114" s="81">
        <v>132520</v>
      </c>
      <c r="J114" s="81">
        <v>96890</v>
      </c>
      <c r="K114" s="81">
        <v>122100</v>
      </c>
      <c r="L114" s="82">
        <f t="shared" si="12"/>
        <v>3340123.2</v>
      </c>
      <c r="M114" s="2">
        <f>Balances_form!$E$5</f>
        <v>0</v>
      </c>
      <c r="N114" s="82">
        <v>-66764.620000000548</v>
      </c>
      <c r="O114" s="9">
        <f t="shared" si="13"/>
        <v>-66764.620000000548</v>
      </c>
      <c r="P114" s="10" t="e">
        <f t="shared" si="14"/>
        <v>#DIV/0!</v>
      </c>
      <c r="Q114" s="11" t="e">
        <f t="shared" si="15"/>
        <v>#DIV/0!</v>
      </c>
      <c r="U114" s="9"/>
    </row>
    <row r="115" spans="1:21">
      <c r="A115" s="83">
        <v>2643</v>
      </c>
      <c r="B115" s="60" t="s">
        <v>322</v>
      </c>
      <c r="C115" s="78">
        <f t="shared" si="11"/>
        <v>350983.92239999998</v>
      </c>
      <c r="D115" s="79">
        <v>1</v>
      </c>
      <c r="E115" s="80">
        <f t="shared" si="10"/>
        <v>0.12</v>
      </c>
      <c r="F115" s="81">
        <v>2533813</v>
      </c>
      <c r="G115" s="81">
        <v>0</v>
      </c>
      <c r="H115" s="81">
        <v>145997.09000000003</v>
      </c>
      <c r="I115" s="81">
        <v>123015</v>
      </c>
      <c r="J115" s="81">
        <v>108276.93</v>
      </c>
      <c r="K115" s="81">
        <v>13764</v>
      </c>
      <c r="L115" s="82">
        <f t="shared" si="12"/>
        <v>2924866.02</v>
      </c>
      <c r="M115" s="2">
        <f>Balances_form!$E$5</f>
        <v>0</v>
      </c>
      <c r="N115" s="82">
        <v>-8734.7100000002829</v>
      </c>
      <c r="O115" s="9">
        <f t="shared" si="13"/>
        <v>-8734.7100000002829</v>
      </c>
      <c r="P115" s="10" t="e">
        <f t="shared" si="14"/>
        <v>#DIV/0!</v>
      </c>
      <c r="Q115" s="11" t="str">
        <f t="shared" si="15"/>
        <v>Within Tolerance</v>
      </c>
      <c r="U115" s="9"/>
    </row>
    <row r="116" spans="1:21">
      <c r="A116" s="83">
        <v>2648</v>
      </c>
      <c r="B116" s="60" t="s">
        <v>323</v>
      </c>
      <c r="C116" s="78">
        <f t="shared" si="11"/>
        <v>3256.3199999999997</v>
      </c>
      <c r="D116" s="79">
        <v>1</v>
      </c>
      <c r="E116" s="80">
        <f t="shared" si="10"/>
        <v>0.12</v>
      </c>
      <c r="F116" s="81">
        <v>0</v>
      </c>
      <c r="G116" s="81">
        <v>0</v>
      </c>
      <c r="H116" s="81">
        <v>0</v>
      </c>
      <c r="I116" s="81">
        <v>0</v>
      </c>
      <c r="J116" s="81">
        <v>0</v>
      </c>
      <c r="K116" s="81">
        <v>27136</v>
      </c>
      <c r="L116" s="82">
        <f t="shared" si="12"/>
        <v>27136</v>
      </c>
      <c r="M116" s="2">
        <f>Balances_form!$E$5</f>
        <v>0</v>
      </c>
      <c r="N116" s="82">
        <v>0</v>
      </c>
      <c r="O116" s="9">
        <f t="shared" si="13"/>
        <v>0</v>
      </c>
      <c r="P116" s="10" t="e">
        <f t="shared" si="14"/>
        <v>#DIV/0!</v>
      </c>
      <c r="Q116" s="11" t="str">
        <f t="shared" si="15"/>
        <v>Within Tolerance</v>
      </c>
      <c r="U116" s="9"/>
    </row>
    <row r="117" spans="1:21">
      <c r="A117" s="83">
        <v>2651</v>
      </c>
      <c r="B117" s="60" t="s">
        <v>324</v>
      </c>
      <c r="C117" s="78">
        <f t="shared" si="11"/>
        <v>127916.9712</v>
      </c>
      <c r="D117" s="79">
        <v>1</v>
      </c>
      <c r="E117" s="80">
        <f t="shared" si="10"/>
        <v>0.12</v>
      </c>
      <c r="F117" s="81">
        <v>869216.81</v>
      </c>
      <c r="G117" s="81">
        <v>0</v>
      </c>
      <c r="H117" s="81">
        <v>85803.95</v>
      </c>
      <c r="I117" s="81">
        <v>74245</v>
      </c>
      <c r="J117" s="81">
        <v>17872</v>
      </c>
      <c r="K117" s="81">
        <v>18837</v>
      </c>
      <c r="L117" s="82">
        <f t="shared" si="12"/>
        <v>1065974.76</v>
      </c>
      <c r="M117" s="2">
        <f>Balances_form!$E$5</f>
        <v>0</v>
      </c>
      <c r="N117" s="82">
        <v>-63302.94999999991</v>
      </c>
      <c r="O117" s="9">
        <f t="shared" si="13"/>
        <v>-63302.94999999991</v>
      </c>
      <c r="P117" s="10" t="e">
        <f t="shared" si="14"/>
        <v>#DIV/0!</v>
      </c>
      <c r="Q117" s="11" t="e">
        <f t="shared" si="15"/>
        <v>#DIV/0!</v>
      </c>
      <c r="U117" s="9"/>
    </row>
    <row r="118" spans="1:21">
      <c r="A118" s="83">
        <v>2653</v>
      </c>
      <c r="B118" s="60" t="s">
        <v>325</v>
      </c>
      <c r="C118" s="78">
        <f t="shared" si="11"/>
        <v>328558.16759999999</v>
      </c>
      <c r="D118" s="79">
        <v>1</v>
      </c>
      <c r="E118" s="80">
        <f t="shared" si="10"/>
        <v>0.12</v>
      </c>
      <c r="F118" s="81">
        <v>2317122.1</v>
      </c>
      <c r="G118" s="81">
        <v>0</v>
      </c>
      <c r="H118" s="81">
        <v>113649.06</v>
      </c>
      <c r="I118" s="81">
        <v>158795</v>
      </c>
      <c r="J118" s="81">
        <v>74048.570000000007</v>
      </c>
      <c r="K118" s="81">
        <v>74370</v>
      </c>
      <c r="L118" s="82">
        <f t="shared" si="12"/>
        <v>2737984.73</v>
      </c>
      <c r="M118" s="2">
        <f>Balances_form!$E$5</f>
        <v>0</v>
      </c>
      <c r="N118" s="82">
        <v>-264569.6100000008</v>
      </c>
      <c r="O118" s="9">
        <f t="shared" si="13"/>
        <v>-264569.6100000008</v>
      </c>
      <c r="P118" s="10" t="e">
        <f t="shared" si="14"/>
        <v>#DIV/0!</v>
      </c>
      <c r="Q118" s="11" t="e">
        <f t="shared" si="15"/>
        <v>#DIV/0!</v>
      </c>
      <c r="U118" s="9"/>
    </row>
    <row r="119" spans="1:21">
      <c r="A119" s="83">
        <v>2662</v>
      </c>
      <c r="B119" s="60" t="s">
        <v>326</v>
      </c>
      <c r="C119" s="78">
        <f t="shared" si="11"/>
        <v>140522.02439999999</v>
      </c>
      <c r="D119" s="79">
        <v>1</v>
      </c>
      <c r="E119" s="80">
        <f t="shared" si="10"/>
        <v>0.12</v>
      </c>
      <c r="F119" s="81">
        <v>906875.87999999989</v>
      </c>
      <c r="G119" s="81">
        <v>0</v>
      </c>
      <c r="H119" s="81">
        <v>104137.03000000001</v>
      </c>
      <c r="I119" s="81">
        <v>106877.52</v>
      </c>
      <c r="J119" s="81">
        <v>34663.440000000002</v>
      </c>
      <c r="K119" s="81">
        <v>18463</v>
      </c>
      <c r="L119" s="82">
        <f t="shared" si="12"/>
        <v>1171016.8699999999</v>
      </c>
      <c r="M119" s="2">
        <f>Balances_form!$E$5</f>
        <v>0</v>
      </c>
      <c r="N119" s="82">
        <v>-88861.920000000042</v>
      </c>
      <c r="O119" s="9">
        <f t="shared" si="13"/>
        <v>-88861.920000000042</v>
      </c>
      <c r="P119" s="10" t="e">
        <f t="shared" si="14"/>
        <v>#DIV/0!</v>
      </c>
      <c r="Q119" s="11" t="e">
        <f t="shared" si="15"/>
        <v>#DIV/0!</v>
      </c>
      <c r="U119" s="9"/>
    </row>
    <row r="120" spans="1:21">
      <c r="A120" s="83">
        <v>2674</v>
      </c>
      <c r="B120" s="60" t="s">
        <v>327</v>
      </c>
      <c r="C120" s="78">
        <f t="shared" si="11"/>
        <v>438151.08960000001</v>
      </c>
      <c r="D120" s="79">
        <v>1</v>
      </c>
      <c r="E120" s="80">
        <f t="shared" ref="E120:E179" si="16">IF(D120=1,0.12,IF(D120=4,0.085,0.075))</f>
        <v>0.12</v>
      </c>
      <c r="F120" s="81">
        <v>2899403.07</v>
      </c>
      <c r="G120" s="81">
        <v>0</v>
      </c>
      <c r="H120" s="81">
        <v>284860.01</v>
      </c>
      <c r="I120" s="81">
        <v>349335</v>
      </c>
      <c r="J120" s="81">
        <v>61606</v>
      </c>
      <c r="K120" s="81">
        <v>56055</v>
      </c>
      <c r="L120" s="82">
        <f t="shared" si="12"/>
        <v>3651259.08</v>
      </c>
      <c r="M120" s="2">
        <f>Balances_form!$E$5</f>
        <v>0</v>
      </c>
      <c r="N120" s="82">
        <v>-492424.9599999995</v>
      </c>
      <c r="O120" s="9">
        <f t="shared" si="13"/>
        <v>-492424.9599999995</v>
      </c>
      <c r="P120" s="10" t="e">
        <f t="shared" si="14"/>
        <v>#DIV/0!</v>
      </c>
      <c r="Q120" s="11" t="e">
        <f t="shared" si="15"/>
        <v>#DIV/0!</v>
      </c>
      <c r="U120" s="9"/>
    </row>
    <row r="121" spans="1:21">
      <c r="A121" s="83">
        <v>2680</v>
      </c>
      <c r="B121" s="60" t="s">
        <v>328</v>
      </c>
      <c r="C121" s="78">
        <f t="shared" ref="C121:C180" si="17">IF(D121=1,L121*0.12,IF(D121=3,L121*0.085,L121*0.075))</f>
        <v>302054.72279999999</v>
      </c>
      <c r="D121" s="79">
        <v>1</v>
      </c>
      <c r="E121" s="80">
        <f t="shared" si="16"/>
        <v>0.12</v>
      </c>
      <c r="F121" s="81">
        <v>2109634.29</v>
      </c>
      <c r="G121" s="81">
        <v>0</v>
      </c>
      <c r="H121" s="81">
        <v>162335.75999999998</v>
      </c>
      <c r="I121" s="81">
        <v>95225</v>
      </c>
      <c r="J121" s="81">
        <v>87767.64</v>
      </c>
      <c r="K121" s="81">
        <v>62160</v>
      </c>
      <c r="L121" s="82">
        <f t="shared" si="12"/>
        <v>2517122.69</v>
      </c>
      <c r="M121" s="2">
        <f>Balances_form!$E$5</f>
        <v>0</v>
      </c>
      <c r="N121" s="82">
        <v>-127617.70000000104</v>
      </c>
      <c r="O121" s="9">
        <f t="shared" si="13"/>
        <v>-127617.70000000104</v>
      </c>
      <c r="P121" s="10" t="e">
        <f t="shared" si="14"/>
        <v>#DIV/0!</v>
      </c>
      <c r="Q121" s="11" t="e">
        <f t="shared" si="15"/>
        <v>#DIV/0!</v>
      </c>
      <c r="U121" s="9"/>
    </row>
    <row r="122" spans="1:21">
      <c r="A122" s="83">
        <v>2682</v>
      </c>
      <c r="B122" s="60" t="s">
        <v>329</v>
      </c>
      <c r="C122" s="78">
        <f t="shared" si="17"/>
        <v>279581.2548</v>
      </c>
      <c r="D122" s="79">
        <v>1</v>
      </c>
      <c r="E122" s="80">
        <f t="shared" si="16"/>
        <v>0.12</v>
      </c>
      <c r="F122" s="81">
        <v>1991095.2</v>
      </c>
      <c r="G122" s="81">
        <v>0</v>
      </c>
      <c r="H122" s="81">
        <v>138109.40999999997</v>
      </c>
      <c r="I122" s="81">
        <v>105965</v>
      </c>
      <c r="J122" s="81">
        <v>60882.18</v>
      </c>
      <c r="K122" s="81">
        <v>33792</v>
      </c>
      <c r="L122" s="82">
        <f t="shared" si="12"/>
        <v>2329843.79</v>
      </c>
      <c r="M122" s="2">
        <f>Balances_form!$E$5</f>
        <v>0</v>
      </c>
      <c r="N122" s="82">
        <v>-41177.260000000446</v>
      </c>
      <c r="O122" s="9">
        <f t="shared" si="13"/>
        <v>-41177.260000000446</v>
      </c>
      <c r="P122" s="10" t="e">
        <f t="shared" si="14"/>
        <v>#DIV/0!</v>
      </c>
      <c r="Q122" s="11" t="e">
        <f t="shared" si="15"/>
        <v>#DIV/0!</v>
      </c>
      <c r="U122" s="9"/>
    </row>
    <row r="123" spans="1:21">
      <c r="A123" s="83">
        <v>2689</v>
      </c>
      <c r="B123" s="60" t="s">
        <v>330</v>
      </c>
      <c r="C123" s="78">
        <f t="shared" si="17"/>
        <v>346054.51199999999</v>
      </c>
      <c r="D123" s="79">
        <v>1</v>
      </c>
      <c r="E123" s="80">
        <f t="shared" si="16"/>
        <v>0.12</v>
      </c>
      <c r="F123" s="81">
        <v>2441252.66</v>
      </c>
      <c r="G123" s="81">
        <v>0</v>
      </c>
      <c r="H123" s="81">
        <v>130164.76000000001</v>
      </c>
      <c r="I123" s="81">
        <v>177011</v>
      </c>
      <c r="J123" s="81">
        <v>73407.179999999993</v>
      </c>
      <c r="K123" s="81">
        <v>61952</v>
      </c>
      <c r="L123" s="82">
        <f t="shared" si="12"/>
        <v>2883787.6</v>
      </c>
      <c r="M123" s="2">
        <f>Balances_form!$E$5</f>
        <v>0</v>
      </c>
      <c r="N123" s="82">
        <v>-229099.14000000019</v>
      </c>
      <c r="O123" s="9">
        <f t="shared" si="13"/>
        <v>-229099.14000000019</v>
      </c>
      <c r="P123" s="10" t="e">
        <f t="shared" si="14"/>
        <v>#DIV/0!</v>
      </c>
      <c r="Q123" s="11" t="e">
        <f t="shared" si="15"/>
        <v>#DIV/0!</v>
      </c>
      <c r="U123" s="9"/>
    </row>
    <row r="124" spans="1:21">
      <c r="A124" s="83">
        <v>3010</v>
      </c>
      <c r="B124" s="60" t="s">
        <v>331</v>
      </c>
      <c r="C124" s="78">
        <f t="shared" si="17"/>
        <v>102157.03199999998</v>
      </c>
      <c r="D124" s="79">
        <v>1</v>
      </c>
      <c r="E124" s="80">
        <f t="shared" si="16"/>
        <v>0.12</v>
      </c>
      <c r="F124" s="81">
        <v>732127.15999999992</v>
      </c>
      <c r="G124" s="81">
        <v>0</v>
      </c>
      <c r="H124" s="81">
        <v>53516.439999999995</v>
      </c>
      <c r="I124" s="81">
        <v>19295</v>
      </c>
      <c r="J124" s="81">
        <v>34893</v>
      </c>
      <c r="K124" s="81">
        <v>11477</v>
      </c>
      <c r="L124" s="82">
        <f t="shared" si="12"/>
        <v>851308.59999999986</v>
      </c>
      <c r="M124" s="2">
        <f>Balances_form!$E$5</f>
        <v>0</v>
      </c>
      <c r="N124" s="82">
        <v>-50902.669999999795</v>
      </c>
      <c r="O124" s="9">
        <f t="shared" si="13"/>
        <v>-50902.669999999795</v>
      </c>
      <c r="P124" s="10" t="e">
        <f t="shared" si="14"/>
        <v>#DIV/0!</v>
      </c>
      <c r="Q124" s="11" t="e">
        <f t="shared" si="15"/>
        <v>#DIV/0!</v>
      </c>
      <c r="U124" s="9"/>
    </row>
    <row r="125" spans="1:21">
      <c r="A125" s="83">
        <v>3015</v>
      </c>
      <c r="B125" s="60" t="s">
        <v>332</v>
      </c>
      <c r="C125" s="78">
        <f t="shared" si="17"/>
        <v>86123.164799999984</v>
      </c>
      <c r="D125" s="79">
        <v>1</v>
      </c>
      <c r="E125" s="80">
        <f t="shared" si="16"/>
        <v>0.12</v>
      </c>
      <c r="F125" s="81">
        <v>611825.37</v>
      </c>
      <c r="G125" s="81">
        <v>0</v>
      </c>
      <c r="H125" s="81">
        <v>18416.97</v>
      </c>
      <c r="I125" s="81">
        <v>29339.7</v>
      </c>
      <c r="J125" s="81">
        <v>33660</v>
      </c>
      <c r="K125" s="81">
        <v>24451</v>
      </c>
      <c r="L125" s="82">
        <f t="shared" si="12"/>
        <v>717693.03999999992</v>
      </c>
      <c r="M125" s="2">
        <f>Balances_form!$E$5</f>
        <v>0</v>
      </c>
      <c r="N125" s="82">
        <v>-8067.99999999992</v>
      </c>
      <c r="O125" s="9">
        <f t="shared" si="13"/>
        <v>-8067.99999999992</v>
      </c>
      <c r="P125" s="10" t="e">
        <f t="shared" si="14"/>
        <v>#DIV/0!</v>
      </c>
      <c r="Q125" s="11" t="str">
        <f t="shared" si="15"/>
        <v>Within Tolerance</v>
      </c>
      <c r="U125" s="9"/>
    </row>
    <row r="126" spans="1:21">
      <c r="A126" s="83">
        <v>3022</v>
      </c>
      <c r="B126" s="60" t="s">
        <v>333</v>
      </c>
      <c r="C126" s="78">
        <f t="shared" si="17"/>
        <v>153548.5932</v>
      </c>
      <c r="D126" s="79">
        <v>1</v>
      </c>
      <c r="E126" s="80">
        <f t="shared" si="16"/>
        <v>0.12</v>
      </c>
      <c r="F126" s="81">
        <v>1086706.08</v>
      </c>
      <c r="G126" s="81">
        <v>0</v>
      </c>
      <c r="H126" s="81">
        <v>46511.529999999992</v>
      </c>
      <c r="I126" s="81">
        <v>35960</v>
      </c>
      <c r="J126" s="81">
        <v>54339</v>
      </c>
      <c r="K126" s="81">
        <v>56055</v>
      </c>
      <c r="L126" s="82">
        <f t="shared" si="12"/>
        <v>1279571.6100000001</v>
      </c>
      <c r="M126" s="2">
        <f>Balances_form!$E$5</f>
        <v>0</v>
      </c>
      <c r="N126" s="82">
        <v>-123028.22999999963</v>
      </c>
      <c r="O126" s="9">
        <f t="shared" si="13"/>
        <v>-123028.22999999963</v>
      </c>
      <c r="P126" s="10" t="e">
        <f t="shared" si="14"/>
        <v>#DIV/0!</v>
      </c>
      <c r="Q126" s="11" t="e">
        <f t="shared" si="15"/>
        <v>#DIV/0!</v>
      </c>
      <c r="U126" s="9"/>
    </row>
    <row r="127" spans="1:21">
      <c r="A127" s="83">
        <v>3023</v>
      </c>
      <c r="B127" s="60" t="s">
        <v>334</v>
      </c>
      <c r="C127" s="78">
        <f t="shared" si="17"/>
        <v>136942.80480000001</v>
      </c>
      <c r="D127" s="79">
        <v>1</v>
      </c>
      <c r="E127" s="80">
        <f t="shared" si="16"/>
        <v>0.12</v>
      </c>
      <c r="F127" s="81">
        <v>1019481.63</v>
      </c>
      <c r="G127" s="81">
        <v>0</v>
      </c>
      <c r="H127" s="81">
        <v>27758.909999999996</v>
      </c>
      <c r="I127" s="81">
        <v>20410</v>
      </c>
      <c r="J127" s="81">
        <v>56324</v>
      </c>
      <c r="K127" s="81">
        <v>17215.5</v>
      </c>
      <c r="L127" s="82">
        <f t="shared" si="12"/>
        <v>1141190.04</v>
      </c>
      <c r="M127" s="2">
        <f>Balances_form!$E$5</f>
        <v>0</v>
      </c>
      <c r="N127" s="82">
        <v>-16381.54000000011</v>
      </c>
      <c r="O127" s="9">
        <f t="shared" si="13"/>
        <v>-16381.54000000011</v>
      </c>
      <c r="P127" s="10" t="e">
        <f t="shared" si="14"/>
        <v>#DIV/0!</v>
      </c>
      <c r="Q127" s="11" t="e">
        <f t="shared" si="15"/>
        <v>#DIV/0!</v>
      </c>
      <c r="U127" s="9"/>
    </row>
    <row r="128" spans="1:21">
      <c r="A128" s="83">
        <v>3027</v>
      </c>
      <c r="B128" s="60" t="s">
        <v>335</v>
      </c>
      <c r="C128" s="78">
        <f t="shared" si="17"/>
        <v>178662.38999999998</v>
      </c>
      <c r="D128" s="79">
        <v>1</v>
      </c>
      <c r="E128" s="80">
        <f t="shared" si="16"/>
        <v>0.12</v>
      </c>
      <c r="F128" s="81">
        <v>1183102.24</v>
      </c>
      <c r="G128" s="81">
        <v>0</v>
      </c>
      <c r="H128" s="81">
        <v>109655.01</v>
      </c>
      <c r="I128" s="81">
        <v>118055</v>
      </c>
      <c r="J128" s="81">
        <v>43076</v>
      </c>
      <c r="K128" s="81">
        <v>34965</v>
      </c>
      <c r="L128" s="82">
        <f t="shared" si="12"/>
        <v>1488853.25</v>
      </c>
      <c r="M128" s="2">
        <f>Balances_form!$E$5</f>
        <v>0</v>
      </c>
      <c r="N128" s="82">
        <v>-148843.06000000006</v>
      </c>
      <c r="O128" s="9">
        <f t="shared" si="13"/>
        <v>-148843.06000000006</v>
      </c>
      <c r="P128" s="10" t="e">
        <f t="shared" si="14"/>
        <v>#DIV/0!</v>
      </c>
      <c r="Q128" s="11" t="e">
        <f t="shared" si="15"/>
        <v>#DIV/0!</v>
      </c>
      <c r="U128" s="9"/>
    </row>
    <row r="129" spans="1:21">
      <c r="A129" s="83">
        <v>3029</v>
      </c>
      <c r="B129" s="60" t="s">
        <v>336</v>
      </c>
      <c r="C129" s="78">
        <f t="shared" si="17"/>
        <v>151967.50440000001</v>
      </c>
      <c r="D129" s="79">
        <v>1</v>
      </c>
      <c r="E129" s="80">
        <f t="shared" si="16"/>
        <v>0.12</v>
      </c>
      <c r="F129" s="81">
        <v>1076415.01</v>
      </c>
      <c r="G129" s="81">
        <v>0</v>
      </c>
      <c r="H129" s="81">
        <v>43077.36</v>
      </c>
      <c r="I129" s="81">
        <v>53740</v>
      </c>
      <c r="J129" s="81">
        <v>55146</v>
      </c>
      <c r="K129" s="81">
        <v>38017.5</v>
      </c>
      <c r="L129" s="82">
        <f t="shared" si="12"/>
        <v>1266395.8700000001</v>
      </c>
      <c r="M129" s="2">
        <f>Balances_form!$E$5</f>
        <v>0</v>
      </c>
      <c r="N129" s="82">
        <v>-83567.040000000154</v>
      </c>
      <c r="O129" s="9">
        <f t="shared" si="13"/>
        <v>-83567.040000000154</v>
      </c>
      <c r="P129" s="10" t="e">
        <f t="shared" si="14"/>
        <v>#DIV/0!</v>
      </c>
      <c r="Q129" s="11" t="e">
        <f t="shared" si="15"/>
        <v>#DIV/0!</v>
      </c>
      <c r="U129" s="9"/>
    </row>
    <row r="130" spans="1:21">
      <c r="A130" s="83">
        <v>3032</v>
      </c>
      <c r="B130" s="60" t="s">
        <v>337</v>
      </c>
      <c r="C130" s="78">
        <f t="shared" si="17"/>
        <v>160192.5564</v>
      </c>
      <c r="D130" s="79">
        <v>1</v>
      </c>
      <c r="E130" s="80">
        <f t="shared" si="16"/>
        <v>0.12</v>
      </c>
      <c r="F130" s="81">
        <v>1115805.8</v>
      </c>
      <c r="G130" s="81">
        <v>0</v>
      </c>
      <c r="H130" s="81">
        <v>24083.239999999998</v>
      </c>
      <c r="I130" s="81">
        <v>107515</v>
      </c>
      <c r="J130" s="81">
        <v>43688.93</v>
      </c>
      <c r="K130" s="81">
        <v>43845</v>
      </c>
      <c r="L130" s="82">
        <f t="shared" si="12"/>
        <v>1334937.97</v>
      </c>
      <c r="M130" s="2">
        <f>Balances_form!$E$5</f>
        <v>0</v>
      </c>
      <c r="N130" s="82">
        <v>-54675.890000000458</v>
      </c>
      <c r="O130" s="9">
        <f t="shared" si="13"/>
        <v>-54675.890000000458</v>
      </c>
      <c r="P130" s="10" t="e">
        <f t="shared" si="14"/>
        <v>#DIV/0!</v>
      </c>
      <c r="Q130" s="11" t="e">
        <f t="shared" si="15"/>
        <v>#DIV/0!</v>
      </c>
      <c r="U130" s="9"/>
    </row>
    <row r="131" spans="1:21">
      <c r="A131" s="83">
        <v>3033</v>
      </c>
      <c r="B131" s="60" t="s">
        <v>338</v>
      </c>
      <c r="C131" s="78">
        <f t="shared" si="17"/>
        <v>136759.66200000001</v>
      </c>
      <c r="D131" s="79">
        <v>1</v>
      </c>
      <c r="E131" s="80">
        <f t="shared" si="16"/>
        <v>0.12</v>
      </c>
      <c r="F131" s="81">
        <v>987307.26</v>
      </c>
      <c r="G131" s="81">
        <v>0</v>
      </c>
      <c r="H131" s="81">
        <v>37830.589999999997</v>
      </c>
      <c r="I131" s="81">
        <v>32530</v>
      </c>
      <c r="J131" s="81">
        <v>51471</v>
      </c>
      <c r="K131" s="81">
        <v>30525</v>
      </c>
      <c r="L131" s="82">
        <f t="shared" si="12"/>
        <v>1139663.8500000001</v>
      </c>
      <c r="M131" s="2">
        <f>Balances_form!$E$5</f>
        <v>0</v>
      </c>
      <c r="N131" s="82">
        <v>-61015.170000000086</v>
      </c>
      <c r="O131" s="9">
        <f t="shared" si="13"/>
        <v>-61015.170000000086</v>
      </c>
      <c r="P131" s="10" t="e">
        <f t="shared" si="14"/>
        <v>#DIV/0!</v>
      </c>
      <c r="Q131" s="11" t="e">
        <f t="shared" si="15"/>
        <v>#DIV/0!</v>
      </c>
      <c r="U131" s="9"/>
    </row>
    <row r="132" spans="1:21">
      <c r="A132" s="83">
        <v>3034</v>
      </c>
      <c r="B132" s="60" t="s">
        <v>339</v>
      </c>
      <c r="C132" s="78">
        <f t="shared" si="17"/>
        <v>146458.60440000001</v>
      </c>
      <c r="D132" s="79">
        <v>1</v>
      </c>
      <c r="E132" s="80">
        <f t="shared" si="16"/>
        <v>0.12</v>
      </c>
      <c r="F132" s="81">
        <v>1051617.79</v>
      </c>
      <c r="G132" s="81">
        <v>0</v>
      </c>
      <c r="H132" s="81">
        <v>41163.58</v>
      </c>
      <c r="I132" s="81">
        <v>28735</v>
      </c>
      <c r="J132" s="81">
        <v>58457</v>
      </c>
      <c r="K132" s="81">
        <v>40515</v>
      </c>
      <c r="L132" s="82">
        <f t="shared" si="12"/>
        <v>1220488.3700000001</v>
      </c>
      <c r="M132" s="2">
        <f>Balances_form!$E$5</f>
        <v>0</v>
      </c>
      <c r="N132" s="82">
        <v>-44775.849999999176</v>
      </c>
      <c r="O132" s="9">
        <f t="shared" si="13"/>
        <v>-44775.849999999176</v>
      </c>
      <c r="P132" s="10" t="e">
        <f t="shared" si="14"/>
        <v>#DIV/0!</v>
      </c>
      <c r="Q132" s="11" t="e">
        <f t="shared" si="15"/>
        <v>#DIV/0!</v>
      </c>
      <c r="U132" s="9"/>
    </row>
    <row r="133" spans="1:21">
      <c r="A133" s="83">
        <v>3037</v>
      </c>
      <c r="B133" s="60" t="s">
        <v>340</v>
      </c>
      <c r="C133" s="78">
        <f t="shared" si="17"/>
        <v>147544.9908</v>
      </c>
      <c r="D133" s="79">
        <v>1</v>
      </c>
      <c r="E133" s="80">
        <f t="shared" si="16"/>
        <v>0.12</v>
      </c>
      <c r="F133" s="81">
        <v>1058708.5900000001</v>
      </c>
      <c r="G133" s="81">
        <v>0</v>
      </c>
      <c r="H133" s="81">
        <v>59736</v>
      </c>
      <c r="I133" s="81">
        <v>42020</v>
      </c>
      <c r="J133" s="81">
        <v>44127</v>
      </c>
      <c r="K133" s="81">
        <v>24950</v>
      </c>
      <c r="L133" s="82">
        <f t="shared" si="12"/>
        <v>1229541.5900000001</v>
      </c>
      <c r="M133" s="2">
        <f>Balances_form!$E$5</f>
        <v>0</v>
      </c>
      <c r="N133" s="82">
        <v>-68107.349999999497</v>
      </c>
      <c r="O133" s="9">
        <f t="shared" si="13"/>
        <v>-68107.349999999497</v>
      </c>
      <c r="P133" s="10" t="e">
        <f t="shared" si="14"/>
        <v>#DIV/0!</v>
      </c>
      <c r="Q133" s="11" t="e">
        <f t="shared" si="15"/>
        <v>#DIV/0!</v>
      </c>
      <c r="U133" s="9"/>
    </row>
    <row r="134" spans="1:21">
      <c r="A134" s="83">
        <v>3042</v>
      </c>
      <c r="B134" s="60" t="s">
        <v>341</v>
      </c>
      <c r="C134" s="78">
        <f t="shared" si="17"/>
        <v>144430.7304</v>
      </c>
      <c r="D134" s="79">
        <v>1</v>
      </c>
      <c r="E134" s="80">
        <f t="shared" si="16"/>
        <v>0.12</v>
      </c>
      <c r="F134" s="81">
        <v>1075664.27</v>
      </c>
      <c r="G134" s="81">
        <v>0</v>
      </c>
      <c r="H134" s="81">
        <v>39002.85</v>
      </c>
      <c r="I134" s="81">
        <v>26070</v>
      </c>
      <c r="J134" s="81">
        <v>58012</v>
      </c>
      <c r="K134" s="81">
        <v>4840.3</v>
      </c>
      <c r="L134" s="82">
        <f t="shared" si="12"/>
        <v>1203589.4200000002</v>
      </c>
      <c r="M134" s="2">
        <f>Balances_form!$E$5</f>
        <v>0</v>
      </c>
      <c r="N134" s="82">
        <v>-33791.609999999644</v>
      </c>
      <c r="O134" s="9">
        <f t="shared" si="13"/>
        <v>-33791.609999999644</v>
      </c>
      <c r="P134" s="10" t="e">
        <f t="shared" si="14"/>
        <v>#DIV/0!</v>
      </c>
      <c r="Q134" s="11" t="e">
        <f t="shared" si="15"/>
        <v>#DIV/0!</v>
      </c>
      <c r="U134" s="9"/>
    </row>
    <row r="135" spans="1:21">
      <c r="A135" s="83">
        <v>3043</v>
      </c>
      <c r="B135" s="60" t="s">
        <v>342</v>
      </c>
      <c r="C135" s="78">
        <f t="shared" si="17"/>
        <v>96235.551600000006</v>
      </c>
      <c r="D135" s="79">
        <v>1</v>
      </c>
      <c r="E135" s="80">
        <f t="shared" si="16"/>
        <v>0.12</v>
      </c>
      <c r="F135" s="81">
        <v>629655.17000000004</v>
      </c>
      <c r="G135" s="81">
        <v>0</v>
      </c>
      <c r="H135" s="81">
        <v>81478.760000000009</v>
      </c>
      <c r="I135" s="81">
        <v>57570</v>
      </c>
      <c r="J135" s="81">
        <v>23778</v>
      </c>
      <c r="K135" s="81">
        <v>9481</v>
      </c>
      <c r="L135" s="82">
        <f t="shared" si="12"/>
        <v>801962.93</v>
      </c>
      <c r="M135" s="2">
        <f>Balances_form!$E$5</f>
        <v>0</v>
      </c>
      <c r="N135" s="82">
        <v>-62308.960000000021</v>
      </c>
      <c r="O135" s="9">
        <f t="shared" si="13"/>
        <v>-62308.960000000021</v>
      </c>
      <c r="P135" s="10" t="e">
        <f t="shared" si="14"/>
        <v>#DIV/0!</v>
      </c>
      <c r="Q135" s="11" t="e">
        <f t="shared" si="15"/>
        <v>#DIV/0!</v>
      </c>
      <c r="U135" s="9"/>
    </row>
    <row r="136" spans="1:21">
      <c r="A136" s="83">
        <v>3050</v>
      </c>
      <c r="B136" s="60" t="s">
        <v>343</v>
      </c>
      <c r="C136" s="78">
        <f t="shared" si="17"/>
        <v>447463.0956</v>
      </c>
      <c r="D136" s="79">
        <v>1</v>
      </c>
      <c r="E136" s="80">
        <f t="shared" si="16"/>
        <v>0.12</v>
      </c>
      <c r="F136" s="81">
        <v>3181935.56</v>
      </c>
      <c r="G136" s="81">
        <v>0</v>
      </c>
      <c r="H136" s="81">
        <v>208421.71999999997</v>
      </c>
      <c r="I136" s="81">
        <v>114432.63</v>
      </c>
      <c r="J136" s="81">
        <v>137489.22</v>
      </c>
      <c r="K136" s="81">
        <v>86580</v>
      </c>
      <c r="L136" s="82">
        <f t="shared" si="12"/>
        <v>3728859.1300000004</v>
      </c>
      <c r="M136" s="2">
        <f>Balances_form!$E$5</f>
        <v>0</v>
      </c>
      <c r="N136" s="82">
        <v>-166416.5300000011</v>
      </c>
      <c r="O136" s="9">
        <f t="shared" si="13"/>
        <v>-166416.5300000011</v>
      </c>
      <c r="P136" s="10" t="e">
        <f t="shared" si="14"/>
        <v>#DIV/0!</v>
      </c>
      <c r="Q136" s="11" t="e">
        <f t="shared" si="15"/>
        <v>#DIV/0!</v>
      </c>
      <c r="U136" s="9"/>
    </row>
    <row r="137" spans="1:21">
      <c r="A137" s="83">
        <v>3052</v>
      </c>
      <c r="B137" s="60" t="s">
        <v>344</v>
      </c>
      <c r="C137" s="78">
        <f t="shared" si="17"/>
        <v>253590.59039999999</v>
      </c>
      <c r="D137" s="79">
        <v>1</v>
      </c>
      <c r="E137" s="80">
        <f t="shared" si="16"/>
        <v>0.12</v>
      </c>
      <c r="F137" s="81">
        <v>1802909.96</v>
      </c>
      <c r="G137" s="81">
        <v>0</v>
      </c>
      <c r="H137" s="81">
        <v>69195.67</v>
      </c>
      <c r="I137" s="81">
        <v>112460</v>
      </c>
      <c r="J137" s="81">
        <v>66529.290000000008</v>
      </c>
      <c r="K137" s="81">
        <v>62160</v>
      </c>
      <c r="L137" s="82">
        <f t="shared" si="12"/>
        <v>2113254.92</v>
      </c>
      <c r="M137" s="2">
        <f>Balances_form!$E$5</f>
        <v>0</v>
      </c>
      <c r="N137" s="82">
        <v>-94217.49999999901</v>
      </c>
      <c r="O137" s="9">
        <f t="shared" si="13"/>
        <v>-94217.49999999901</v>
      </c>
      <c r="P137" s="10" t="e">
        <f t="shared" si="14"/>
        <v>#DIV/0!</v>
      </c>
      <c r="Q137" s="11" t="e">
        <f t="shared" si="15"/>
        <v>#DIV/0!</v>
      </c>
      <c r="U137" s="9"/>
    </row>
    <row r="138" spans="1:21">
      <c r="A138" s="83">
        <v>3053</v>
      </c>
      <c r="B138" s="60" t="s">
        <v>345</v>
      </c>
      <c r="C138" s="78">
        <f t="shared" si="17"/>
        <v>72266.014800000004</v>
      </c>
      <c r="D138" s="79">
        <v>1</v>
      </c>
      <c r="E138" s="80">
        <f t="shared" si="16"/>
        <v>0.12</v>
      </c>
      <c r="F138" s="81">
        <v>440350.65</v>
      </c>
      <c r="G138" s="81">
        <v>0</v>
      </c>
      <c r="H138" s="81">
        <v>45975.479999999996</v>
      </c>
      <c r="I138" s="81">
        <v>19229.16</v>
      </c>
      <c r="J138" s="81">
        <v>44769</v>
      </c>
      <c r="K138" s="81">
        <v>51892.5</v>
      </c>
      <c r="L138" s="82">
        <f t="shared" si="12"/>
        <v>602216.79</v>
      </c>
      <c r="M138" s="2">
        <f>Balances_form!$E$5</f>
        <v>0</v>
      </c>
      <c r="N138" s="82">
        <v>-69594.960000000385</v>
      </c>
      <c r="O138" s="9">
        <f t="shared" si="13"/>
        <v>-69594.960000000385</v>
      </c>
      <c r="P138" s="10" t="e">
        <f t="shared" si="14"/>
        <v>#DIV/0!</v>
      </c>
      <c r="Q138" s="11" t="e">
        <f t="shared" si="15"/>
        <v>#DIV/0!</v>
      </c>
      <c r="U138" s="9"/>
    </row>
    <row r="139" spans="1:21">
      <c r="A139" s="83">
        <v>3054</v>
      </c>
      <c r="B139" s="60" t="s">
        <v>346</v>
      </c>
      <c r="C139" s="78">
        <f t="shared" si="17"/>
        <v>117102.49199999998</v>
      </c>
      <c r="D139" s="79">
        <v>1</v>
      </c>
      <c r="E139" s="80">
        <f t="shared" si="16"/>
        <v>0.12</v>
      </c>
      <c r="F139" s="81">
        <v>836116.1399999999</v>
      </c>
      <c r="G139" s="81">
        <v>0</v>
      </c>
      <c r="H139" s="81">
        <v>60052.61</v>
      </c>
      <c r="I139" s="81">
        <v>15465</v>
      </c>
      <c r="J139" s="81">
        <v>42264.35</v>
      </c>
      <c r="K139" s="81">
        <v>21956</v>
      </c>
      <c r="L139" s="82">
        <f t="shared" si="12"/>
        <v>975854.09999999986</v>
      </c>
      <c r="M139" s="2">
        <f>Balances_form!$E$5</f>
        <v>0</v>
      </c>
      <c r="N139" s="82">
        <v>-68906.640000000029</v>
      </c>
      <c r="O139" s="9">
        <f t="shared" si="13"/>
        <v>-68906.640000000029</v>
      </c>
      <c r="P139" s="10" t="e">
        <f t="shared" si="14"/>
        <v>#DIV/0!</v>
      </c>
      <c r="Q139" s="11" t="e">
        <f t="shared" si="15"/>
        <v>#DIV/0!</v>
      </c>
      <c r="U139" s="9"/>
    </row>
    <row r="140" spans="1:21">
      <c r="A140" s="83">
        <v>3055</v>
      </c>
      <c r="B140" s="60" t="s">
        <v>347</v>
      </c>
      <c r="C140" s="78">
        <f t="shared" si="17"/>
        <v>176901.66</v>
      </c>
      <c r="D140" s="79">
        <v>1</v>
      </c>
      <c r="E140" s="80">
        <f t="shared" si="16"/>
        <v>0.12</v>
      </c>
      <c r="F140" s="81">
        <v>1220070.1499999999</v>
      </c>
      <c r="G140" s="81">
        <v>0</v>
      </c>
      <c r="H140" s="81">
        <v>64487.56</v>
      </c>
      <c r="I140" s="81">
        <v>103087.76</v>
      </c>
      <c r="J140" s="81">
        <v>52402.53</v>
      </c>
      <c r="K140" s="81">
        <v>34132.5</v>
      </c>
      <c r="L140" s="82">
        <f t="shared" si="12"/>
        <v>1474180.5</v>
      </c>
      <c r="M140" s="2">
        <f>Balances_form!$E$5</f>
        <v>0</v>
      </c>
      <c r="N140" s="82">
        <v>-18050.530000000195</v>
      </c>
      <c r="O140" s="9">
        <f t="shared" si="13"/>
        <v>-18050.530000000195</v>
      </c>
      <c r="P140" s="10" t="e">
        <f t="shared" si="14"/>
        <v>#DIV/0!</v>
      </c>
      <c r="Q140" s="11" t="e">
        <f t="shared" si="15"/>
        <v>#DIV/0!</v>
      </c>
      <c r="U140" s="9"/>
    </row>
    <row r="141" spans="1:21">
      <c r="A141" s="83">
        <v>3057</v>
      </c>
      <c r="B141" s="60" t="s">
        <v>348</v>
      </c>
      <c r="C141" s="78">
        <f t="shared" si="17"/>
        <v>86998.732799999983</v>
      </c>
      <c r="D141" s="79">
        <v>1</v>
      </c>
      <c r="E141" s="80">
        <f t="shared" si="16"/>
        <v>0.12</v>
      </c>
      <c r="F141" s="81">
        <v>632308.15</v>
      </c>
      <c r="G141" s="81">
        <v>0</v>
      </c>
      <c r="H141" s="81">
        <v>27971.879999999997</v>
      </c>
      <c r="I141" s="81">
        <v>32232.09</v>
      </c>
      <c r="J141" s="81">
        <v>12392.57</v>
      </c>
      <c r="K141" s="81">
        <v>20084.75</v>
      </c>
      <c r="L141" s="82">
        <f t="shared" si="12"/>
        <v>724989.43999999994</v>
      </c>
      <c r="M141" s="2">
        <f>Balances_form!$E$5</f>
        <v>0</v>
      </c>
      <c r="N141" s="82">
        <v>-104333.90999999997</v>
      </c>
      <c r="O141" s="9">
        <f t="shared" si="13"/>
        <v>-104333.90999999997</v>
      </c>
      <c r="P141" s="10" t="e">
        <f t="shared" si="14"/>
        <v>#DIV/0!</v>
      </c>
      <c r="Q141" s="11" t="e">
        <f t="shared" si="15"/>
        <v>#DIV/0!</v>
      </c>
      <c r="U141" s="9"/>
    </row>
    <row r="142" spans="1:21">
      <c r="A142" s="83">
        <v>3061</v>
      </c>
      <c r="B142" s="60" t="s">
        <v>349</v>
      </c>
      <c r="C142" s="78">
        <f t="shared" si="17"/>
        <v>101080.29719999999</v>
      </c>
      <c r="D142" s="79">
        <v>1</v>
      </c>
      <c r="E142" s="80">
        <f t="shared" si="16"/>
        <v>0.12</v>
      </c>
      <c r="F142" s="81">
        <v>754346.14999999991</v>
      </c>
      <c r="G142" s="81">
        <v>0</v>
      </c>
      <c r="H142" s="81">
        <v>1148.4099999999999</v>
      </c>
      <c r="I142" s="81">
        <v>23540</v>
      </c>
      <c r="J142" s="81">
        <v>44963</v>
      </c>
      <c r="K142" s="81">
        <v>18338.25</v>
      </c>
      <c r="L142" s="82">
        <f t="shared" si="12"/>
        <v>842335.80999999994</v>
      </c>
      <c r="M142" s="2">
        <f>Balances_form!$E$5</f>
        <v>0</v>
      </c>
      <c r="N142" s="82">
        <v>-22401.549999999897</v>
      </c>
      <c r="O142" s="9">
        <f t="shared" si="13"/>
        <v>-22401.549999999897</v>
      </c>
      <c r="P142" s="10" t="e">
        <f t="shared" si="14"/>
        <v>#DIV/0!</v>
      </c>
      <c r="Q142" s="11" t="e">
        <f t="shared" si="15"/>
        <v>#DIV/0!</v>
      </c>
      <c r="U142" s="9"/>
    </row>
    <row r="143" spans="1:21">
      <c r="A143" s="83">
        <v>3062</v>
      </c>
      <c r="B143" s="60" t="s">
        <v>350</v>
      </c>
      <c r="C143" s="78">
        <f t="shared" si="17"/>
        <v>126051.95399999998</v>
      </c>
      <c r="D143" s="79">
        <v>1</v>
      </c>
      <c r="E143" s="80">
        <f t="shared" si="16"/>
        <v>0.12</v>
      </c>
      <c r="F143" s="81">
        <v>892319.43</v>
      </c>
      <c r="G143" s="81">
        <v>0</v>
      </c>
      <c r="H143" s="81">
        <v>51371.799999999988</v>
      </c>
      <c r="I143" s="81">
        <v>34030</v>
      </c>
      <c r="J143" s="81">
        <v>42464.22</v>
      </c>
      <c r="K143" s="81">
        <v>30247.5</v>
      </c>
      <c r="L143" s="82">
        <f t="shared" si="12"/>
        <v>1050432.95</v>
      </c>
      <c r="M143" s="2">
        <f>Balances_form!$E$5</f>
        <v>0</v>
      </c>
      <c r="N143" s="82">
        <v>-34749.420000000333</v>
      </c>
      <c r="O143" s="9">
        <f t="shared" si="13"/>
        <v>-34749.420000000333</v>
      </c>
      <c r="P143" s="10" t="e">
        <f t="shared" si="14"/>
        <v>#DIV/0!</v>
      </c>
      <c r="Q143" s="11" t="e">
        <f t="shared" si="15"/>
        <v>#DIV/0!</v>
      </c>
      <c r="U143" s="9"/>
    </row>
    <row r="144" spans="1:21">
      <c r="A144" s="83">
        <v>3067</v>
      </c>
      <c r="B144" s="60" t="s">
        <v>351</v>
      </c>
      <c r="C144" s="78">
        <f t="shared" si="17"/>
        <v>295596.22080000001</v>
      </c>
      <c r="D144" s="79">
        <v>1</v>
      </c>
      <c r="E144" s="80">
        <f t="shared" si="16"/>
        <v>0.12</v>
      </c>
      <c r="F144" s="81">
        <v>2023061.07</v>
      </c>
      <c r="G144" s="81">
        <v>0</v>
      </c>
      <c r="H144" s="81">
        <v>108887.87999999999</v>
      </c>
      <c r="I144" s="81">
        <v>192614.46</v>
      </c>
      <c r="J144" s="81">
        <v>84625.93</v>
      </c>
      <c r="K144" s="81">
        <v>54112.5</v>
      </c>
      <c r="L144" s="82">
        <f t="shared" si="12"/>
        <v>2463301.8400000003</v>
      </c>
      <c r="M144" s="2">
        <f>Balances_form!$E$5</f>
        <v>0</v>
      </c>
      <c r="N144" s="82">
        <v>-45293.310000000951</v>
      </c>
      <c r="O144" s="9">
        <f t="shared" si="13"/>
        <v>-45293.310000000951</v>
      </c>
      <c r="P144" s="10" t="e">
        <f t="shared" si="14"/>
        <v>#DIV/0!</v>
      </c>
      <c r="Q144" s="11" t="e">
        <f t="shared" si="15"/>
        <v>#DIV/0!</v>
      </c>
      <c r="U144" s="9"/>
    </row>
    <row r="145" spans="1:21">
      <c r="A145" s="83">
        <v>3069</v>
      </c>
      <c r="B145" s="60" t="s">
        <v>352</v>
      </c>
      <c r="C145" s="78">
        <f t="shared" si="17"/>
        <v>101093.4924</v>
      </c>
      <c r="D145" s="79">
        <v>1</v>
      </c>
      <c r="E145" s="80">
        <f t="shared" si="16"/>
        <v>0.12</v>
      </c>
      <c r="F145" s="81">
        <v>680487.24</v>
      </c>
      <c r="G145" s="81">
        <v>0</v>
      </c>
      <c r="H145" s="81">
        <v>85792.85</v>
      </c>
      <c r="I145" s="81">
        <v>38940</v>
      </c>
      <c r="J145" s="81">
        <v>29615.93</v>
      </c>
      <c r="K145" s="81">
        <v>7609.75</v>
      </c>
      <c r="L145" s="82">
        <f t="shared" si="12"/>
        <v>842445.77</v>
      </c>
      <c r="M145" s="2">
        <f>Balances_form!$E$5</f>
        <v>0</v>
      </c>
      <c r="N145" s="82">
        <v>-15667.700000000325</v>
      </c>
      <c r="O145" s="9">
        <f t="shared" si="13"/>
        <v>-15667.700000000325</v>
      </c>
      <c r="P145" s="10" t="e">
        <f t="shared" si="14"/>
        <v>#DIV/0!</v>
      </c>
      <c r="Q145" s="11" t="e">
        <f t="shared" si="15"/>
        <v>#DIV/0!</v>
      </c>
      <c r="U145" s="9"/>
    </row>
    <row r="146" spans="1:21">
      <c r="A146" s="83">
        <v>3072</v>
      </c>
      <c r="B146" s="60" t="s">
        <v>353</v>
      </c>
      <c r="C146" s="78">
        <f t="shared" si="17"/>
        <v>136714.30319999997</v>
      </c>
      <c r="D146" s="79">
        <v>1</v>
      </c>
      <c r="E146" s="80">
        <f t="shared" si="16"/>
        <v>0.12</v>
      </c>
      <c r="F146" s="81">
        <v>1002498.75</v>
      </c>
      <c r="G146" s="81">
        <v>0</v>
      </c>
      <c r="H146" s="81">
        <v>33939.11</v>
      </c>
      <c r="I146" s="81">
        <v>74071</v>
      </c>
      <c r="J146" s="81">
        <v>16302</v>
      </c>
      <c r="K146" s="81">
        <v>12475</v>
      </c>
      <c r="L146" s="82">
        <f t="shared" si="12"/>
        <v>1139285.8599999999</v>
      </c>
      <c r="M146" s="2">
        <f>Balances_form!$E$5</f>
        <v>0</v>
      </c>
      <c r="N146" s="82">
        <v>-58147.890000000247</v>
      </c>
      <c r="O146" s="9">
        <f t="shared" si="13"/>
        <v>-58147.890000000247</v>
      </c>
      <c r="P146" s="10" t="e">
        <f t="shared" si="14"/>
        <v>#DIV/0!</v>
      </c>
      <c r="Q146" s="11" t="e">
        <f t="shared" si="15"/>
        <v>#DIV/0!</v>
      </c>
      <c r="U146" s="9"/>
    </row>
    <row r="147" spans="1:21">
      <c r="A147" s="83">
        <v>3073</v>
      </c>
      <c r="B147" s="60" t="s">
        <v>354</v>
      </c>
      <c r="C147" s="78">
        <f t="shared" si="17"/>
        <v>100471.3092</v>
      </c>
      <c r="D147" s="79">
        <v>1</v>
      </c>
      <c r="E147" s="80">
        <f t="shared" si="16"/>
        <v>0.12</v>
      </c>
      <c r="F147" s="81">
        <v>704509.16</v>
      </c>
      <c r="G147" s="81">
        <v>0</v>
      </c>
      <c r="H147" s="81">
        <v>6838.4600000000019</v>
      </c>
      <c r="I147" s="81">
        <v>24955</v>
      </c>
      <c r="J147" s="81">
        <v>87984.290000000008</v>
      </c>
      <c r="K147" s="81">
        <v>12974</v>
      </c>
      <c r="L147" s="82">
        <f t="shared" si="12"/>
        <v>837260.91</v>
      </c>
      <c r="M147" s="2">
        <f>Balances_form!$E$5</f>
        <v>0</v>
      </c>
      <c r="N147" s="82">
        <v>-43434.579999999973</v>
      </c>
      <c r="O147" s="9">
        <f t="shared" si="13"/>
        <v>-43434.579999999973</v>
      </c>
      <c r="P147" s="10" t="e">
        <f t="shared" si="14"/>
        <v>#DIV/0!</v>
      </c>
      <c r="Q147" s="11" t="e">
        <f t="shared" si="15"/>
        <v>#DIV/0!</v>
      </c>
      <c r="U147" s="9"/>
    </row>
    <row r="148" spans="1:21">
      <c r="A148" s="83">
        <v>3081</v>
      </c>
      <c r="B148" s="60" t="s">
        <v>355</v>
      </c>
      <c r="C148" s="78">
        <f t="shared" si="17"/>
        <v>192450.8628</v>
      </c>
      <c r="D148" s="79">
        <v>1</v>
      </c>
      <c r="E148" s="80">
        <f t="shared" si="16"/>
        <v>0.12</v>
      </c>
      <c r="F148" s="81">
        <v>1356430.9500000002</v>
      </c>
      <c r="G148" s="81">
        <v>0</v>
      </c>
      <c r="H148" s="81">
        <v>51423.239999999991</v>
      </c>
      <c r="I148" s="81">
        <v>16915</v>
      </c>
      <c r="J148" s="81">
        <v>145688</v>
      </c>
      <c r="K148" s="81">
        <v>33300</v>
      </c>
      <c r="L148" s="82">
        <f t="shared" si="12"/>
        <v>1603757.1900000002</v>
      </c>
      <c r="M148" s="2">
        <f>Balances_form!$E$5</f>
        <v>0</v>
      </c>
      <c r="N148" s="82">
        <v>-34729.84999999986</v>
      </c>
      <c r="O148" s="9">
        <f t="shared" si="13"/>
        <v>-34729.84999999986</v>
      </c>
      <c r="P148" s="10" t="e">
        <f t="shared" si="14"/>
        <v>#DIV/0!</v>
      </c>
      <c r="Q148" s="11" t="e">
        <f t="shared" si="15"/>
        <v>#DIV/0!</v>
      </c>
      <c r="U148" s="9"/>
    </row>
    <row r="149" spans="1:21">
      <c r="A149" s="83">
        <v>3082</v>
      </c>
      <c r="B149" s="60" t="s">
        <v>356</v>
      </c>
      <c r="C149" s="78">
        <f t="shared" si="17"/>
        <v>76379.468399999998</v>
      </c>
      <c r="D149" s="79">
        <v>1</v>
      </c>
      <c r="E149" s="80">
        <f t="shared" si="16"/>
        <v>0.12</v>
      </c>
      <c r="F149" s="81">
        <v>565037.28</v>
      </c>
      <c r="G149" s="81">
        <v>0</v>
      </c>
      <c r="H149" s="81">
        <v>20319.5</v>
      </c>
      <c r="I149" s="81">
        <v>11720</v>
      </c>
      <c r="J149" s="81">
        <v>31684.29</v>
      </c>
      <c r="K149" s="81">
        <v>7734.5</v>
      </c>
      <c r="L149" s="82">
        <f t="shared" si="12"/>
        <v>636495.57000000007</v>
      </c>
      <c r="M149" s="2">
        <f>Balances_form!$E$5</f>
        <v>0</v>
      </c>
      <c r="N149" s="82">
        <v>-42063.689999999995</v>
      </c>
      <c r="O149" s="9">
        <f t="shared" si="13"/>
        <v>-42063.689999999995</v>
      </c>
      <c r="P149" s="10" t="e">
        <f t="shared" si="14"/>
        <v>#DIV/0!</v>
      </c>
      <c r="Q149" s="11" t="e">
        <f t="shared" si="15"/>
        <v>#DIV/0!</v>
      </c>
      <c r="U149" s="9"/>
    </row>
    <row r="150" spans="1:21">
      <c r="A150" s="83">
        <v>3083</v>
      </c>
      <c r="B150" s="60" t="s">
        <v>357</v>
      </c>
      <c r="C150" s="78">
        <f t="shared" si="17"/>
        <v>87106.437600000005</v>
      </c>
      <c r="D150" s="79">
        <v>1</v>
      </c>
      <c r="E150" s="80">
        <f t="shared" si="16"/>
        <v>0.12</v>
      </c>
      <c r="F150" s="81">
        <v>586724.97000000009</v>
      </c>
      <c r="G150" s="81">
        <v>0</v>
      </c>
      <c r="H150" s="81">
        <v>46492.509999999995</v>
      </c>
      <c r="I150" s="81">
        <v>59085</v>
      </c>
      <c r="J150" s="81">
        <v>27347</v>
      </c>
      <c r="K150" s="81">
        <v>6237.5</v>
      </c>
      <c r="L150" s="82">
        <f t="shared" si="12"/>
        <v>725886.9800000001</v>
      </c>
      <c r="M150" s="2">
        <f>Balances_form!$E$5</f>
        <v>0</v>
      </c>
      <c r="N150" s="82">
        <v>-70329.230000000156</v>
      </c>
      <c r="O150" s="9">
        <f t="shared" si="13"/>
        <v>-70329.230000000156</v>
      </c>
      <c r="P150" s="10" t="e">
        <f t="shared" si="14"/>
        <v>#DIV/0!</v>
      </c>
      <c r="Q150" s="11" t="e">
        <f t="shared" si="15"/>
        <v>#DIV/0!</v>
      </c>
      <c r="U150" s="9"/>
    </row>
    <row r="151" spans="1:21">
      <c r="A151" s="83">
        <v>3084</v>
      </c>
      <c r="B151" s="60" t="s">
        <v>358</v>
      </c>
      <c r="C151" s="78">
        <f t="shared" si="17"/>
        <v>125513.0724</v>
      </c>
      <c r="D151" s="79">
        <v>1</v>
      </c>
      <c r="E151" s="80">
        <f t="shared" si="16"/>
        <v>0.12</v>
      </c>
      <c r="F151" s="81">
        <v>879914.37</v>
      </c>
      <c r="G151" s="81">
        <v>0</v>
      </c>
      <c r="H151" s="81">
        <v>61759.9</v>
      </c>
      <c r="I151" s="81">
        <v>60200</v>
      </c>
      <c r="J151" s="81">
        <v>39178</v>
      </c>
      <c r="K151" s="81">
        <v>4890</v>
      </c>
      <c r="L151" s="82">
        <f t="shared" ref="L151:L208" si="18">SUM(F151:K151)</f>
        <v>1045942.27</v>
      </c>
      <c r="M151" s="2">
        <f>Balances_form!$E$5</f>
        <v>0</v>
      </c>
      <c r="N151" s="82">
        <v>-108971.15000000021</v>
      </c>
      <c r="O151" s="9">
        <f t="shared" si="13"/>
        <v>-108971.15000000021</v>
      </c>
      <c r="P151" s="10" t="e">
        <f t="shared" si="14"/>
        <v>#DIV/0!</v>
      </c>
      <c r="Q151" s="11" t="e">
        <f t="shared" si="15"/>
        <v>#DIV/0!</v>
      </c>
      <c r="U151" s="9"/>
    </row>
    <row r="152" spans="1:21">
      <c r="A152" s="83">
        <v>3088</v>
      </c>
      <c r="B152" s="60" t="s">
        <v>359</v>
      </c>
      <c r="C152" s="78">
        <f t="shared" si="17"/>
        <v>292953.47879999998</v>
      </c>
      <c r="D152" s="79">
        <v>1</v>
      </c>
      <c r="E152" s="80">
        <f t="shared" si="16"/>
        <v>0.12</v>
      </c>
      <c r="F152" s="81">
        <v>2051279.7</v>
      </c>
      <c r="G152" s="81">
        <v>0</v>
      </c>
      <c r="H152" s="81">
        <v>62599.29</v>
      </c>
      <c r="I152" s="81">
        <v>132120</v>
      </c>
      <c r="J152" s="81">
        <v>93160</v>
      </c>
      <c r="K152" s="81">
        <v>102120</v>
      </c>
      <c r="L152" s="82">
        <f t="shared" si="18"/>
        <v>2441278.9899999998</v>
      </c>
      <c r="M152" s="2">
        <f>Balances_form!$E$5</f>
        <v>0</v>
      </c>
      <c r="N152" s="82">
        <v>-32937.949999999779</v>
      </c>
      <c r="O152" s="9">
        <f t="shared" si="13"/>
        <v>-32937.949999999779</v>
      </c>
      <c r="P152" s="10" t="e">
        <f t="shared" si="14"/>
        <v>#DIV/0!</v>
      </c>
      <c r="Q152" s="11" t="e">
        <f t="shared" si="15"/>
        <v>#DIV/0!</v>
      </c>
      <c r="U152" s="9"/>
    </row>
    <row r="153" spans="1:21">
      <c r="A153" s="83">
        <v>3089</v>
      </c>
      <c r="B153" s="60" t="s">
        <v>360</v>
      </c>
      <c r="C153" s="78">
        <f t="shared" si="17"/>
        <v>141352.3248</v>
      </c>
      <c r="D153" s="79">
        <v>1</v>
      </c>
      <c r="E153" s="80">
        <f t="shared" si="16"/>
        <v>0.12</v>
      </c>
      <c r="F153" s="81">
        <v>1026534.74</v>
      </c>
      <c r="G153" s="81">
        <v>0</v>
      </c>
      <c r="H153" s="81">
        <v>27734.3</v>
      </c>
      <c r="I153" s="81">
        <v>54540</v>
      </c>
      <c r="J153" s="81">
        <v>50913</v>
      </c>
      <c r="K153" s="81">
        <v>18214</v>
      </c>
      <c r="L153" s="82">
        <f t="shared" si="18"/>
        <v>1177936.04</v>
      </c>
      <c r="M153" s="2">
        <f>Balances_form!$E$5</f>
        <v>0</v>
      </c>
      <c r="N153" s="82">
        <v>-5426.1000000000276</v>
      </c>
      <c r="O153" s="9">
        <f t="shared" si="13"/>
        <v>-5426.1000000000276</v>
      </c>
      <c r="P153" s="10" t="e">
        <f t="shared" si="14"/>
        <v>#DIV/0!</v>
      </c>
      <c r="Q153" s="11" t="str">
        <f t="shared" si="15"/>
        <v>Within Tolerance</v>
      </c>
      <c r="U153" s="9"/>
    </row>
    <row r="154" spans="1:21">
      <c r="A154" s="83">
        <v>3090</v>
      </c>
      <c r="B154" s="60" t="s">
        <v>361</v>
      </c>
      <c r="C154" s="78">
        <f t="shared" si="17"/>
        <v>94907.881200000018</v>
      </c>
      <c r="D154" s="79">
        <v>1</v>
      </c>
      <c r="E154" s="80">
        <f t="shared" si="16"/>
        <v>0.12</v>
      </c>
      <c r="F154" s="81">
        <v>704045.96000000008</v>
      </c>
      <c r="G154" s="81">
        <v>0</v>
      </c>
      <c r="H154" s="81">
        <v>21922.3</v>
      </c>
      <c r="I154" s="81">
        <v>12120</v>
      </c>
      <c r="J154" s="81">
        <v>34722</v>
      </c>
      <c r="K154" s="81">
        <v>18088.75</v>
      </c>
      <c r="L154" s="82">
        <f t="shared" si="18"/>
        <v>790899.01000000013</v>
      </c>
      <c r="M154" s="2">
        <f>Balances_form!$E$5</f>
        <v>0</v>
      </c>
      <c r="N154" s="82">
        <v>-45958.029999999926</v>
      </c>
      <c r="O154" s="9">
        <f t="shared" si="13"/>
        <v>-45958.029999999926</v>
      </c>
      <c r="P154" s="10" t="e">
        <f t="shared" si="14"/>
        <v>#DIV/0!</v>
      </c>
      <c r="Q154" s="11" t="e">
        <f t="shared" si="15"/>
        <v>#DIV/0!</v>
      </c>
      <c r="U154" s="9"/>
    </row>
    <row r="155" spans="1:21">
      <c r="A155" s="83">
        <v>3091</v>
      </c>
      <c r="B155" s="60" t="s">
        <v>362</v>
      </c>
      <c r="C155" s="78">
        <f t="shared" si="17"/>
        <v>84505.154400000014</v>
      </c>
      <c r="D155" s="79">
        <v>1</v>
      </c>
      <c r="E155" s="80">
        <f t="shared" si="16"/>
        <v>0.12</v>
      </c>
      <c r="F155" s="81">
        <v>571480.38000000012</v>
      </c>
      <c r="G155" s="81">
        <v>0</v>
      </c>
      <c r="H155" s="81">
        <v>67380.67</v>
      </c>
      <c r="I155" s="81">
        <v>21210</v>
      </c>
      <c r="J155" s="81">
        <v>36903.07</v>
      </c>
      <c r="K155" s="81">
        <v>7235.5</v>
      </c>
      <c r="L155" s="82">
        <f t="shared" si="18"/>
        <v>704209.62000000011</v>
      </c>
      <c r="M155" s="2">
        <f>Balances_form!$E$5</f>
        <v>0</v>
      </c>
      <c r="N155" s="82">
        <v>-64848.120000000272</v>
      </c>
      <c r="O155" s="9">
        <f t="shared" si="13"/>
        <v>-64848.120000000272</v>
      </c>
      <c r="P155" s="10" t="e">
        <f t="shared" si="14"/>
        <v>#DIV/0!</v>
      </c>
      <c r="Q155" s="11" t="e">
        <f t="shared" si="15"/>
        <v>#DIV/0!</v>
      </c>
      <c r="U155" s="9"/>
    </row>
    <row r="156" spans="1:21">
      <c r="A156" s="83">
        <v>3092</v>
      </c>
      <c r="B156" s="60" t="s">
        <v>363</v>
      </c>
      <c r="C156" s="78">
        <f t="shared" si="17"/>
        <v>119507.41560000001</v>
      </c>
      <c r="D156" s="79">
        <v>1</v>
      </c>
      <c r="E156" s="80">
        <f t="shared" si="16"/>
        <v>0.12</v>
      </c>
      <c r="F156" s="81">
        <v>884045.07000000007</v>
      </c>
      <c r="G156" s="81">
        <v>0</v>
      </c>
      <c r="H156" s="81">
        <v>23391.170000000002</v>
      </c>
      <c r="I156" s="81">
        <v>38590</v>
      </c>
      <c r="J156" s="81">
        <v>30532.639999999999</v>
      </c>
      <c r="K156" s="81">
        <v>19336.25</v>
      </c>
      <c r="L156" s="82">
        <f t="shared" si="18"/>
        <v>995895.13000000012</v>
      </c>
      <c r="M156" s="2">
        <f>Balances_form!$E$5</f>
        <v>0</v>
      </c>
      <c r="N156" s="82">
        <v>-67565.079999999769</v>
      </c>
      <c r="O156" s="9">
        <f t="shared" si="13"/>
        <v>-67565.079999999769</v>
      </c>
      <c r="P156" s="10" t="e">
        <f t="shared" si="14"/>
        <v>#DIV/0!</v>
      </c>
      <c r="Q156" s="11" t="e">
        <f t="shared" si="15"/>
        <v>#DIV/0!</v>
      </c>
      <c r="U156" s="9"/>
    </row>
    <row r="157" spans="1:21">
      <c r="A157" s="83">
        <v>3108</v>
      </c>
      <c r="B157" s="60" t="s">
        <v>364</v>
      </c>
      <c r="C157" s="78">
        <f t="shared" si="17"/>
        <v>183919.46040000001</v>
      </c>
      <c r="D157" s="79">
        <v>1</v>
      </c>
      <c r="E157" s="80">
        <f t="shared" si="16"/>
        <v>0.12</v>
      </c>
      <c r="F157" s="81">
        <v>1206926.52</v>
      </c>
      <c r="G157" s="81">
        <v>0</v>
      </c>
      <c r="H157" s="81">
        <v>154422.59999999998</v>
      </c>
      <c r="I157" s="81">
        <v>104435.05</v>
      </c>
      <c r="J157" s="81">
        <v>43799</v>
      </c>
      <c r="K157" s="81">
        <v>23079</v>
      </c>
      <c r="L157" s="82">
        <f t="shared" si="18"/>
        <v>1532662.1700000002</v>
      </c>
      <c r="M157" s="2">
        <f>Balances_form!$E$5</f>
        <v>0</v>
      </c>
      <c r="N157" s="82">
        <v>-81776.030000000028</v>
      </c>
      <c r="O157" s="9">
        <f t="shared" si="13"/>
        <v>-81776.030000000028</v>
      </c>
      <c r="P157" s="10" t="e">
        <f t="shared" si="14"/>
        <v>#DIV/0!</v>
      </c>
      <c r="Q157" s="11" t="e">
        <f t="shared" si="15"/>
        <v>#DIV/0!</v>
      </c>
      <c r="U157" s="9"/>
    </row>
    <row r="158" spans="1:21">
      <c r="A158" s="83">
        <v>3109</v>
      </c>
      <c r="B158" s="60" t="s">
        <v>365</v>
      </c>
      <c r="C158" s="78">
        <f t="shared" si="17"/>
        <v>151931.72159999999</v>
      </c>
      <c r="D158" s="79">
        <v>1</v>
      </c>
      <c r="E158" s="80">
        <f t="shared" si="16"/>
        <v>0.12</v>
      </c>
      <c r="F158" s="81">
        <v>1066431</v>
      </c>
      <c r="G158" s="81">
        <v>0</v>
      </c>
      <c r="H158" s="81">
        <v>75308.179999999993</v>
      </c>
      <c r="I158" s="81">
        <v>25755</v>
      </c>
      <c r="J158" s="81">
        <v>56146</v>
      </c>
      <c r="K158" s="81">
        <v>42457.5</v>
      </c>
      <c r="L158" s="82">
        <f t="shared" si="18"/>
        <v>1266097.68</v>
      </c>
      <c r="M158" s="2">
        <f>Balances_form!$E$5</f>
        <v>0</v>
      </c>
      <c r="N158" s="82">
        <v>-6702.0200000000841</v>
      </c>
      <c r="O158" s="9">
        <f t="shared" si="13"/>
        <v>-6702.0200000000841</v>
      </c>
      <c r="P158" s="10" t="e">
        <f t="shared" si="14"/>
        <v>#DIV/0!</v>
      </c>
      <c r="Q158" s="11" t="str">
        <f t="shared" si="15"/>
        <v>Within Tolerance</v>
      </c>
      <c r="U158" s="9"/>
    </row>
    <row r="159" spans="1:21">
      <c r="A159" s="83">
        <v>3111</v>
      </c>
      <c r="B159" s="60" t="s">
        <v>366</v>
      </c>
      <c r="C159" s="78">
        <f t="shared" si="17"/>
        <v>183934.64880000002</v>
      </c>
      <c r="D159" s="79">
        <v>1</v>
      </c>
      <c r="E159" s="80">
        <f t="shared" si="16"/>
        <v>0.12</v>
      </c>
      <c r="F159" s="81">
        <v>1221037.3900000001</v>
      </c>
      <c r="G159" s="81">
        <v>0</v>
      </c>
      <c r="H159" s="81">
        <v>102598.85</v>
      </c>
      <c r="I159" s="81">
        <v>124730</v>
      </c>
      <c r="J159" s="81">
        <v>43630</v>
      </c>
      <c r="K159" s="81">
        <v>40792.5</v>
      </c>
      <c r="L159" s="82">
        <f t="shared" si="18"/>
        <v>1532788.7400000002</v>
      </c>
      <c r="M159" s="2">
        <f>Balances_form!$E$5</f>
        <v>0</v>
      </c>
      <c r="N159" s="82">
        <v>-317252.10000000015</v>
      </c>
      <c r="O159" s="9">
        <f t="shared" si="13"/>
        <v>-317252.10000000015</v>
      </c>
      <c r="P159" s="10" t="e">
        <f t="shared" si="14"/>
        <v>#DIV/0!</v>
      </c>
      <c r="Q159" s="11" t="e">
        <f t="shared" si="15"/>
        <v>#DIV/0!</v>
      </c>
      <c r="U159" s="9"/>
    </row>
    <row r="160" spans="1:21">
      <c r="A160" s="83">
        <v>3117</v>
      </c>
      <c r="B160" s="60" t="s">
        <v>367</v>
      </c>
      <c r="C160" s="78">
        <f t="shared" si="17"/>
        <v>171715.356</v>
      </c>
      <c r="D160" s="79">
        <v>1</v>
      </c>
      <c r="E160" s="80">
        <f t="shared" si="16"/>
        <v>0.12</v>
      </c>
      <c r="F160" s="81">
        <v>1206721.75</v>
      </c>
      <c r="G160" s="81">
        <v>0</v>
      </c>
      <c r="H160" s="81">
        <v>44797.87</v>
      </c>
      <c r="I160" s="81">
        <v>118970</v>
      </c>
      <c r="J160" s="81">
        <v>38390.93</v>
      </c>
      <c r="K160" s="81">
        <v>22080.75</v>
      </c>
      <c r="L160" s="82">
        <f t="shared" si="18"/>
        <v>1430961.3</v>
      </c>
      <c r="M160" s="2">
        <f>Balances_form!$E$5</f>
        <v>0</v>
      </c>
      <c r="N160" s="82">
        <v>-100861.58000000013</v>
      </c>
      <c r="O160" s="9">
        <f t="shared" si="13"/>
        <v>-100861.58000000013</v>
      </c>
      <c r="P160" s="10" t="e">
        <f t="shared" si="14"/>
        <v>#DIV/0!</v>
      </c>
      <c r="Q160" s="11" t="e">
        <f t="shared" si="15"/>
        <v>#DIV/0!</v>
      </c>
      <c r="U160" s="9"/>
    </row>
    <row r="161" spans="1:21">
      <c r="A161" s="83">
        <v>3120</v>
      </c>
      <c r="B161" s="60" t="s">
        <v>368</v>
      </c>
      <c r="C161" s="78">
        <f t="shared" si="17"/>
        <v>162267.5148</v>
      </c>
      <c r="D161" s="79">
        <v>1</v>
      </c>
      <c r="E161" s="80">
        <f t="shared" si="16"/>
        <v>0.12</v>
      </c>
      <c r="F161" s="81">
        <v>1113527.1200000001</v>
      </c>
      <c r="G161" s="81">
        <v>0</v>
      </c>
      <c r="H161" s="81">
        <v>101421.67</v>
      </c>
      <c r="I161" s="81">
        <v>45765</v>
      </c>
      <c r="J161" s="81">
        <v>53498</v>
      </c>
      <c r="K161" s="81">
        <v>38017.5</v>
      </c>
      <c r="L161" s="82">
        <f t="shared" si="18"/>
        <v>1352229.29</v>
      </c>
      <c r="M161" s="2">
        <f>Balances_form!$E$5</f>
        <v>0</v>
      </c>
      <c r="N161" s="82">
        <v>-66819.739999999831</v>
      </c>
      <c r="O161" s="9">
        <f t="shared" ref="O161:O219" si="19">N161-M161</f>
        <v>-66819.739999999831</v>
      </c>
      <c r="P161" s="10" t="e">
        <f t="shared" ref="P161:P219" si="20">O161/M161</f>
        <v>#DIV/0!</v>
      </c>
      <c r="Q161" s="11" t="e">
        <f t="shared" ref="Q161:Q219" si="21">IF(AND(O161&lt;$Q$2,O161&gt;-$Q$2),"Within Tolerance",IF(AND(P161&lt;$R$2,P161&gt;-$R$2),"Within Tolerance",O161))</f>
        <v>#DIV/0!</v>
      </c>
      <c r="U161" s="9"/>
    </row>
    <row r="162" spans="1:21">
      <c r="A162" s="83">
        <v>3122</v>
      </c>
      <c r="B162" s="60" t="s">
        <v>369</v>
      </c>
      <c r="C162" s="78">
        <f t="shared" si="17"/>
        <v>289325.54280000005</v>
      </c>
      <c r="D162" s="79">
        <v>1</v>
      </c>
      <c r="E162" s="80">
        <f t="shared" si="16"/>
        <v>0.12</v>
      </c>
      <c r="F162" s="81">
        <v>2111466.7000000002</v>
      </c>
      <c r="G162" s="81">
        <v>0</v>
      </c>
      <c r="H162" s="81">
        <v>114843.98999999999</v>
      </c>
      <c r="I162" s="81">
        <v>36130</v>
      </c>
      <c r="J162" s="81">
        <v>106148</v>
      </c>
      <c r="K162" s="81">
        <v>42457.5</v>
      </c>
      <c r="L162" s="82">
        <f t="shared" si="18"/>
        <v>2411046.1900000004</v>
      </c>
      <c r="M162" s="2">
        <f>Balances_form!$E$5</f>
        <v>0</v>
      </c>
      <c r="N162" s="82">
        <v>-6981.469999999812</v>
      </c>
      <c r="O162" s="9">
        <f t="shared" si="19"/>
        <v>-6981.469999999812</v>
      </c>
      <c r="P162" s="10" t="e">
        <f t="shared" si="20"/>
        <v>#DIV/0!</v>
      </c>
      <c r="Q162" s="11" t="str">
        <f t="shared" si="21"/>
        <v>Within Tolerance</v>
      </c>
      <c r="U162" s="9"/>
    </row>
    <row r="163" spans="1:21">
      <c r="A163" s="83">
        <v>3123</v>
      </c>
      <c r="B163" s="60" t="s">
        <v>370</v>
      </c>
      <c r="C163" s="78">
        <f t="shared" si="17"/>
        <v>99567.685199999978</v>
      </c>
      <c r="D163" s="79">
        <v>1</v>
      </c>
      <c r="E163" s="80">
        <f t="shared" si="16"/>
        <v>0.12</v>
      </c>
      <c r="F163" s="81">
        <v>672184.72999999986</v>
      </c>
      <c r="G163" s="81">
        <v>0</v>
      </c>
      <c r="H163" s="81">
        <v>79612.73000000001</v>
      </c>
      <c r="I163" s="81">
        <v>38060</v>
      </c>
      <c r="J163" s="81">
        <v>31515</v>
      </c>
      <c r="K163" s="81">
        <v>8358.25</v>
      </c>
      <c r="L163" s="82">
        <f t="shared" si="18"/>
        <v>829730.70999999985</v>
      </c>
      <c r="M163" s="2">
        <f>Balances_form!$E$5</f>
        <v>0</v>
      </c>
      <c r="N163" s="82">
        <v>-121560.2000000001</v>
      </c>
      <c r="O163" s="9">
        <f t="shared" si="19"/>
        <v>-121560.2000000001</v>
      </c>
      <c r="P163" s="10" t="e">
        <f t="shared" si="20"/>
        <v>#DIV/0!</v>
      </c>
      <c r="Q163" s="11" t="e">
        <f t="shared" si="21"/>
        <v>#DIV/0!</v>
      </c>
      <c r="U163" s="9"/>
    </row>
    <row r="164" spans="1:21">
      <c r="A164" s="83">
        <v>3126</v>
      </c>
      <c r="B164" s="60" t="s">
        <v>371</v>
      </c>
      <c r="C164" s="78">
        <f t="shared" si="17"/>
        <v>93781.657200000001</v>
      </c>
      <c r="D164" s="79">
        <v>1</v>
      </c>
      <c r="E164" s="80">
        <f t="shared" si="16"/>
        <v>0.12</v>
      </c>
      <c r="F164" s="81">
        <v>646435.96000000008</v>
      </c>
      <c r="G164" s="81">
        <v>0</v>
      </c>
      <c r="H164" s="81">
        <v>14038.210000000001</v>
      </c>
      <c r="I164" s="81">
        <v>69140</v>
      </c>
      <c r="J164" s="81">
        <v>34434.639999999999</v>
      </c>
      <c r="K164" s="81">
        <v>17465</v>
      </c>
      <c r="L164" s="82">
        <f t="shared" si="18"/>
        <v>781513.81</v>
      </c>
      <c r="M164" s="2">
        <f>Balances_form!$E$5</f>
        <v>0</v>
      </c>
      <c r="N164" s="82">
        <v>-53925.04999999993</v>
      </c>
      <c r="O164" s="9">
        <f t="shared" si="19"/>
        <v>-53925.04999999993</v>
      </c>
      <c r="P164" s="10" t="e">
        <f t="shared" si="20"/>
        <v>#DIV/0!</v>
      </c>
      <c r="Q164" s="11" t="e">
        <f t="shared" si="21"/>
        <v>#DIV/0!</v>
      </c>
      <c r="U164" s="9"/>
    </row>
    <row r="165" spans="1:21">
      <c r="A165" s="83">
        <v>3129</v>
      </c>
      <c r="B165" s="60" t="s">
        <v>372</v>
      </c>
      <c r="C165" s="78">
        <f t="shared" si="17"/>
        <v>170694.15840000004</v>
      </c>
      <c r="D165" s="79">
        <v>1</v>
      </c>
      <c r="E165" s="80">
        <f t="shared" si="16"/>
        <v>0.12</v>
      </c>
      <c r="F165" s="81">
        <v>1123276.6900000002</v>
      </c>
      <c r="G165" s="81">
        <v>0</v>
      </c>
      <c r="H165" s="81">
        <v>127482.13</v>
      </c>
      <c r="I165" s="81">
        <v>54855</v>
      </c>
      <c r="J165" s="81">
        <v>79375</v>
      </c>
      <c r="K165" s="81">
        <v>37462.5</v>
      </c>
      <c r="L165" s="82">
        <f t="shared" si="18"/>
        <v>1422451.3200000003</v>
      </c>
      <c r="M165" s="2">
        <f>Balances_form!$E$5</f>
        <v>0</v>
      </c>
      <c r="N165" s="82">
        <v>-152085.62000000014</v>
      </c>
      <c r="O165" s="9">
        <f t="shared" si="19"/>
        <v>-152085.62000000014</v>
      </c>
      <c r="P165" s="10" t="e">
        <f t="shared" si="20"/>
        <v>#DIV/0!</v>
      </c>
      <c r="Q165" s="11" t="e">
        <f t="shared" si="21"/>
        <v>#DIV/0!</v>
      </c>
      <c r="U165" s="9"/>
    </row>
    <row r="166" spans="1:21">
      <c r="A166" s="83">
        <v>3130</v>
      </c>
      <c r="B166" s="60" t="s">
        <v>373</v>
      </c>
      <c r="C166" s="78">
        <f t="shared" si="17"/>
        <v>83909.432400000005</v>
      </c>
      <c r="D166" s="79">
        <v>1</v>
      </c>
      <c r="E166" s="80">
        <f t="shared" si="16"/>
        <v>0.12</v>
      </c>
      <c r="F166" s="81">
        <v>616737.63</v>
      </c>
      <c r="G166" s="81">
        <v>0</v>
      </c>
      <c r="H166" s="81">
        <v>20736.64</v>
      </c>
      <c r="I166" s="81">
        <v>15150</v>
      </c>
      <c r="J166" s="81">
        <v>37015</v>
      </c>
      <c r="K166" s="81">
        <v>9606</v>
      </c>
      <c r="L166" s="82">
        <f t="shared" si="18"/>
        <v>699245.27</v>
      </c>
      <c r="M166" s="2">
        <f>Balances_form!$E$5</f>
        <v>0</v>
      </c>
      <c r="N166" s="82">
        <v>-2406.54000000011</v>
      </c>
      <c r="O166" s="9">
        <f t="shared" si="19"/>
        <v>-2406.54000000011</v>
      </c>
      <c r="P166" s="10" t="e">
        <f t="shared" si="20"/>
        <v>#DIV/0!</v>
      </c>
      <c r="Q166" s="11" t="str">
        <f t="shared" si="21"/>
        <v>Within Tolerance</v>
      </c>
      <c r="U166" s="9"/>
    </row>
    <row r="167" spans="1:21">
      <c r="A167" s="83">
        <v>3136</v>
      </c>
      <c r="B167" s="60" t="s">
        <v>374</v>
      </c>
      <c r="C167" s="78">
        <f t="shared" si="17"/>
        <v>89173.366800000003</v>
      </c>
      <c r="D167" s="79">
        <v>1</v>
      </c>
      <c r="E167" s="80">
        <f t="shared" si="16"/>
        <v>0.12</v>
      </c>
      <c r="F167" s="81">
        <v>619554.73</v>
      </c>
      <c r="G167" s="81">
        <v>0</v>
      </c>
      <c r="H167" s="81">
        <v>74527.16</v>
      </c>
      <c r="I167" s="81">
        <v>8625</v>
      </c>
      <c r="J167" s="81">
        <v>34666</v>
      </c>
      <c r="K167" s="81">
        <v>5738.5</v>
      </c>
      <c r="L167" s="82">
        <f t="shared" si="18"/>
        <v>743111.39</v>
      </c>
      <c r="M167" s="2">
        <f>Balances_form!$E$5</f>
        <v>0</v>
      </c>
      <c r="N167" s="82">
        <v>-54625.179999999935</v>
      </c>
      <c r="O167" s="9">
        <f t="shared" si="19"/>
        <v>-54625.179999999935</v>
      </c>
      <c r="P167" s="10" t="e">
        <f t="shared" si="20"/>
        <v>#DIV/0!</v>
      </c>
      <c r="Q167" s="11" t="e">
        <f t="shared" si="21"/>
        <v>#DIV/0!</v>
      </c>
      <c r="U167" s="9"/>
    </row>
    <row r="168" spans="1:21">
      <c r="A168" s="83">
        <v>3137</v>
      </c>
      <c r="B168" s="60" t="s">
        <v>375</v>
      </c>
      <c r="C168" s="78">
        <f t="shared" si="17"/>
        <v>93065.627999999997</v>
      </c>
      <c r="D168" s="79">
        <v>1</v>
      </c>
      <c r="E168" s="80">
        <f t="shared" si="16"/>
        <v>0.12</v>
      </c>
      <c r="F168" s="81">
        <v>643900.65</v>
      </c>
      <c r="G168" s="81">
        <v>0</v>
      </c>
      <c r="H168" s="81">
        <v>43237.459999999992</v>
      </c>
      <c r="I168" s="81">
        <v>40905</v>
      </c>
      <c r="J168" s="81">
        <v>31785.29</v>
      </c>
      <c r="K168" s="81">
        <v>15718.5</v>
      </c>
      <c r="L168" s="82">
        <f t="shared" si="18"/>
        <v>775546.9</v>
      </c>
      <c r="M168" s="2">
        <f>Balances_form!$E$5</f>
        <v>0</v>
      </c>
      <c r="N168" s="82">
        <v>-18105.509999999762</v>
      </c>
      <c r="O168" s="9">
        <f t="shared" si="19"/>
        <v>-18105.509999999762</v>
      </c>
      <c r="P168" s="10" t="e">
        <f t="shared" si="20"/>
        <v>#DIV/0!</v>
      </c>
      <c r="Q168" s="11" t="e">
        <f t="shared" si="21"/>
        <v>#DIV/0!</v>
      </c>
      <c r="U168" s="9"/>
    </row>
    <row r="169" spans="1:21">
      <c r="A169" s="83">
        <v>3138</v>
      </c>
      <c r="B169" s="60" t="s">
        <v>376</v>
      </c>
      <c r="C169" s="78">
        <f t="shared" si="17"/>
        <v>88399.485600000015</v>
      </c>
      <c r="D169" s="79">
        <v>1</v>
      </c>
      <c r="E169" s="80">
        <f t="shared" si="16"/>
        <v>0.12</v>
      </c>
      <c r="F169" s="81">
        <v>615084.88000000012</v>
      </c>
      <c r="G169" s="81">
        <v>0</v>
      </c>
      <c r="H169" s="81">
        <v>41010.500000000007</v>
      </c>
      <c r="I169" s="81">
        <v>41620</v>
      </c>
      <c r="J169" s="81">
        <v>30589</v>
      </c>
      <c r="K169" s="81">
        <v>8358</v>
      </c>
      <c r="L169" s="82">
        <f t="shared" si="18"/>
        <v>736662.38000000012</v>
      </c>
      <c r="M169" s="2">
        <f>Balances_form!$E$5</f>
        <v>0</v>
      </c>
      <c r="N169" s="82">
        <v>-29255.740000000049</v>
      </c>
      <c r="O169" s="9">
        <f t="shared" si="19"/>
        <v>-29255.740000000049</v>
      </c>
      <c r="P169" s="10" t="e">
        <f t="shared" si="20"/>
        <v>#DIV/0!</v>
      </c>
      <c r="Q169" s="11" t="e">
        <f t="shared" si="21"/>
        <v>#DIV/0!</v>
      </c>
      <c r="U169" s="9"/>
    </row>
    <row r="170" spans="1:21">
      <c r="A170" s="83">
        <v>3139</v>
      </c>
      <c r="B170" s="60" t="s">
        <v>377</v>
      </c>
      <c r="C170" s="78">
        <f t="shared" si="17"/>
        <v>93391.940400000007</v>
      </c>
      <c r="D170" s="79">
        <v>1</v>
      </c>
      <c r="E170" s="80">
        <f t="shared" si="16"/>
        <v>0.12</v>
      </c>
      <c r="F170" s="81">
        <v>651551.69999999995</v>
      </c>
      <c r="G170" s="81">
        <v>0</v>
      </c>
      <c r="H170" s="81">
        <v>48689.180000000008</v>
      </c>
      <c r="I170" s="81">
        <v>22725</v>
      </c>
      <c r="J170" s="81">
        <v>32845.29</v>
      </c>
      <c r="K170" s="81">
        <v>22455</v>
      </c>
      <c r="L170" s="82">
        <f t="shared" si="18"/>
        <v>778266.17</v>
      </c>
      <c r="M170" s="2">
        <f>Balances_form!$E$5</f>
        <v>0</v>
      </c>
      <c r="N170" s="82">
        <v>-54183.859999999826</v>
      </c>
      <c r="O170" s="9">
        <f t="shared" si="19"/>
        <v>-54183.859999999826</v>
      </c>
      <c r="P170" s="10" t="e">
        <f t="shared" si="20"/>
        <v>#DIV/0!</v>
      </c>
      <c r="Q170" s="11" t="e">
        <f t="shared" si="21"/>
        <v>#DIV/0!</v>
      </c>
      <c r="U170" s="9"/>
    </row>
    <row r="171" spans="1:21">
      <c r="A171" s="83">
        <v>3145</v>
      </c>
      <c r="B171" s="60" t="s">
        <v>378</v>
      </c>
      <c r="C171" s="78">
        <f t="shared" si="17"/>
        <v>134419.74959999998</v>
      </c>
      <c r="D171" s="79">
        <v>1</v>
      </c>
      <c r="E171" s="80">
        <f t="shared" si="16"/>
        <v>0.12</v>
      </c>
      <c r="F171" s="81">
        <v>934364.9800000001</v>
      </c>
      <c r="G171" s="81">
        <v>0</v>
      </c>
      <c r="H171" s="81">
        <v>69231.459999999992</v>
      </c>
      <c r="I171" s="81">
        <v>59930</v>
      </c>
      <c r="J171" s="81">
        <v>41917.64</v>
      </c>
      <c r="K171" s="81">
        <v>14720.5</v>
      </c>
      <c r="L171" s="82">
        <f t="shared" si="18"/>
        <v>1120164.5799999998</v>
      </c>
      <c r="M171" s="2">
        <f>Balances_form!$E$5</f>
        <v>0</v>
      </c>
      <c r="N171" s="82">
        <v>-47495.419999999882</v>
      </c>
      <c r="O171" s="9">
        <f t="shared" si="19"/>
        <v>-47495.419999999882</v>
      </c>
      <c r="P171" s="10" t="e">
        <f t="shared" si="20"/>
        <v>#DIV/0!</v>
      </c>
      <c r="Q171" s="11" t="e">
        <f t="shared" si="21"/>
        <v>#DIV/0!</v>
      </c>
      <c r="U171" s="9"/>
    </row>
    <row r="172" spans="1:21">
      <c r="A172" s="83">
        <v>3146</v>
      </c>
      <c r="B172" s="60" t="s">
        <v>379</v>
      </c>
      <c r="C172" s="78">
        <f t="shared" si="17"/>
        <v>73528.124399999986</v>
      </c>
      <c r="D172" s="79">
        <v>1</v>
      </c>
      <c r="E172" s="80">
        <f t="shared" si="16"/>
        <v>0.12</v>
      </c>
      <c r="F172" s="81">
        <v>543801.42999999993</v>
      </c>
      <c r="G172" s="81">
        <v>0</v>
      </c>
      <c r="H172" s="81">
        <v>24539.360000000001</v>
      </c>
      <c r="I172" s="81">
        <v>10605</v>
      </c>
      <c r="J172" s="81">
        <v>25959</v>
      </c>
      <c r="K172" s="81">
        <v>7829.58</v>
      </c>
      <c r="L172" s="82">
        <f t="shared" si="18"/>
        <v>612734.36999999988</v>
      </c>
      <c r="M172" s="2">
        <f>Balances_form!$E$5</f>
        <v>0</v>
      </c>
      <c r="N172" s="82">
        <v>-59166.109999999804</v>
      </c>
      <c r="O172" s="9">
        <f t="shared" si="19"/>
        <v>-59166.109999999804</v>
      </c>
      <c r="P172" s="10" t="e">
        <f t="shared" si="20"/>
        <v>#DIV/0!</v>
      </c>
      <c r="Q172" s="11" t="e">
        <f t="shared" si="21"/>
        <v>#DIV/0!</v>
      </c>
      <c r="U172" s="9"/>
    </row>
    <row r="173" spans="1:21">
      <c r="A173" s="83">
        <v>3149</v>
      </c>
      <c r="B173" s="60" t="s">
        <v>380</v>
      </c>
      <c r="C173" s="78">
        <f t="shared" si="17"/>
        <v>161731.52279999998</v>
      </c>
      <c r="D173" s="79">
        <v>1</v>
      </c>
      <c r="E173" s="80">
        <f t="shared" si="16"/>
        <v>0.12</v>
      </c>
      <c r="F173" s="81">
        <v>1099518.3399999999</v>
      </c>
      <c r="G173" s="81">
        <v>0</v>
      </c>
      <c r="H173" s="81">
        <v>121694.31</v>
      </c>
      <c r="I173" s="81">
        <v>57355</v>
      </c>
      <c r="J173" s="81">
        <v>45118.29</v>
      </c>
      <c r="K173" s="81">
        <v>24076.75</v>
      </c>
      <c r="L173" s="82">
        <f t="shared" si="18"/>
        <v>1347762.69</v>
      </c>
      <c r="M173" s="2">
        <f>Balances_form!$E$5</f>
        <v>0</v>
      </c>
      <c r="N173" s="82">
        <v>-18257.850000000049</v>
      </c>
      <c r="O173" s="9">
        <f t="shared" si="19"/>
        <v>-18257.850000000049</v>
      </c>
      <c r="P173" s="10" t="e">
        <f t="shared" si="20"/>
        <v>#DIV/0!</v>
      </c>
      <c r="Q173" s="11" t="e">
        <f t="shared" si="21"/>
        <v>#DIV/0!</v>
      </c>
      <c r="U173" s="9"/>
    </row>
    <row r="174" spans="1:21">
      <c r="A174" s="83">
        <v>3150</v>
      </c>
      <c r="B174" s="60" t="s">
        <v>381</v>
      </c>
      <c r="C174" s="78">
        <f t="shared" si="17"/>
        <v>112966.62480000001</v>
      </c>
      <c r="D174" s="79">
        <v>1</v>
      </c>
      <c r="E174" s="80">
        <f t="shared" si="16"/>
        <v>0.12</v>
      </c>
      <c r="F174" s="81">
        <v>776140.58</v>
      </c>
      <c r="G174" s="81">
        <v>0</v>
      </c>
      <c r="H174" s="81">
        <v>54232.42</v>
      </c>
      <c r="I174" s="81">
        <v>74495.5</v>
      </c>
      <c r="J174" s="81">
        <v>32383.14</v>
      </c>
      <c r="K174" s="81">
        <v>4136.8999999999996</v>
      </c>
      <c r="L174" s="82">
        <f t="shared" si="18"/>
        <v>941388.54</v>
      </c>
      <c r="M174" s="2">
        <f>Balances_form!$E$5</f>
        <v>0</v>
      </c>
      <c r="N174" s="82">
        <v>-19170.929999999935</v>
      </c>
      <c r="O174" s="9">
        <f t="shared" si="19"/>
        <v>-19170.929999999935</v>
      </c>
      <c r="P174" s="10" t="e">
        <f t="shared" si="20"/>
        <v>#DIV/0!</v>
      </c>
      <c r="Q174" s="11" t="e">
        <f t="shared" si="21"/>
        <v>#DIV/0!</v>
      </c>
      <c r="U174" s="9"/>
    </row>
    <row r="175" spans="1:21">
      <c r="A175" s="83">
        <v>3153</v>
      </c>
      <c r="B175" s="60" t="s">
        <v>382</v>
      </c>
      <c r="C175" s="78">
        <f t="shared" si="17"/>
        <v>87033.614399999991</v>
      </c>
      <c r="D175" s="79">
        <v>1</v>
      </c>
      <c r="E175" s="80">
        <f t="shared" si="16"/>
        <v>0.12</v>
      </c>
      <c r="F175" s="81">
        <v>605181.34</v>
      </c>
      <c r="G175" s="81">
        <v>0</v>
      </c>
      <c r="H175" s="81">
        <v>38402.67</v>
      </c>
      <c r="I175" s="81">
        <v>20595</v>
      </c>
      <c r="J175" s="81">
        <v>58791.71</v>
      </c>
      <c r="K175" s="81">
        <v>2309.4</v>
      </c>
      <c r="L175" s="82">
        <f t="shared" si="18"/>
        <v>725280.12</v>
      </c>
      <c r="M175" s="2">
        <f>Balances_form!$E$5</f>
        <v>0</v>
      </c>
      <c r="N175" s="82">
        <v>-35777.769999999909</v>
      </c>
      <c r="O175" s="9">
        <f t="shared" si="19"/>
        <v>-35777.769999999909</v>
      </c>
      <c r="P175" s="10" t="e">
        <f t="shared" si="20"/>
        <v>#DIV/0!</v>
      </c>
      <c r="Q175" s="11" t="e">
        <f t="shared" si="21"/>
        <v>#DIV/0!</v>
      </c>
      <c r="U175" s="9"/>
    </row>
    <row r="176" spans="1:21">
      <c r="A176" s="83">
        <v>3154</v>
      </c>
      <c r="B176" s="60" t="s">
        <v>383</v>
      </c>
      <c r="C176" s="78">
        <f t="shared" si="17"/>
        <v>127669.86</v>
      </c>
      <c r="D176" s="79">
        <v>1</v>
      </c>
      <c r="E176" s="80">
        <f t="shared" si="16"/>
        <v>0.12</v>
      </c>
      <c r="F176" s="81">
        <v>933998.96000000008</v>
      </c>
      <c r="G176" s="81">
        <v>0</v>
      </c>
      <c r="H176" s="81">
        <v>19864.54</v>
      </c>
      <c r="I176" s="81">
        <v>29900</v>
      </c>
      <c r="J176" s="81">
        <v>44632</v>
      </c>
      <c r="K176" s="81">
        <v>35520</v>
      </c>
      <c r="L176" s="82">
        <f t="shared" si="18"/>
        <v>1063915.5</v>
      </c>
      <c r="M176" s="2">
        <f>Balances_form!$E$5</f>
        <v>0</v>
      </c>
      <c r="N176" s="82">
        <v>-88807.139999999941</v>
      </c>
      <c r="O176" s="9">
        <f t="shared" si="19"/>
        <v>-88807.139999999941</v>
      </c>
      <c r="P176" s="10" t="e">
        <f t="shared" si="20"/>
        <v>#DIV/0!</v>
      </c>
      <c r="Q176" s="11" t="e">
        <f t="shared" si="21"/>
        <v>#DIV/0!</v>
      </c>
      <c r="U176" s="9"/>
    </row>
    <row r="177" spans="1:21">
      <c r="A177" s="83">
        <v>3155</v>
      </c>
      <c r="B177" s="60" t="s">
        <v>384</v>
      </c>
      <c r="C177" s="78">
        <f t="shared" si="17"/>
        <v>143537.87039999999</v>
      </c>
      <c r="D177" s="79">
        <v>1</v>
      </c>
      <c r="E177" s="80">
        <f t="shared" si="16"/>
        <v>0.12</v>
      </c>
      <c r="F177" s="81">
        <v>1025520.22</v>
      </c>
      <c r="G177" s="81">
        <v>0</v>
      </c>
      <c r="H177" s="81">
        <v>41373.199999999997</v>
      </c>
      <c r="I177" s="81">
        <v>22260</v>
      </c>
      <c r="J177" s="81">
        <v>58433</v>
      </c>
      <c r="K177" s="81">
        <v>48562.5</v>
      </c>
      <c r="L177" s="82">
        <f t="shared" si="18"/>
        <v>1196148.92</v>
      </c>
      <c r="M177" s="2">
        <f>Balances_form!$E$5</f>
        <v>0</v>
      </c>
      <c r="N177" s="82">
        <v>-83944.799999999595</v>
      </c>
      <c r="O177" s="9">
        <f t="shared" si="19"/>
        <v>-83944.799999999595</v>
      </c>
      <c r="P177" s="10" t="e">
        <f t="shared" si="20"/>
        <v>#DIV/0!</v>
      </c>
      <c r="Q177" s="11" t="e">
        <f t="shared" si="21"/>
        <v>#DIV/0!</v>
      </c>
      <c r="U177" s="9"/>
    </row>
    <row r="178" spans="1:21">
      <c r="A178" s="83">
        <v>3158</v>
      </c>
      <c r="B178" s="60" t="s">
        <v>385</v>
      </c>
      <c r="C178" s="78">
        <f t="shared" si="17"/>
        <v>86805.936000000002</v>
      </c>
      <c r="D178" s="79">
        <v>1</v>
      </c>
      <c r="E178" s="80">
        <f t="shared" si="16"/>
        <v>0.12</v>
      </c>
      <c r="F178" s="81">
        <v>583210.16</v>
      </c>
      <c r="G178" s="81">
        <v>0</v>
      </c>
      <c r="H178" s="81">
        <v>75737.639999999985</v>
      </c>
      <c r="I178" s="81">
        <v>18265</v>
      </c>
      <c r="J178" s="81">
        <v>29703</v>
      </c>
      <c r="K178" s="81">
        <v>16467</v>
      </c>
      <c r="L178" s="82">
        <f t="shared" si="18"/>
        <v>723382.8</v>
      </c>
      <c r="M178" s="2">
        <f>Balances_form!$E$5</f>
        <v>0</v>
      </c>
      <c r="N178" s="82">
        <v>-64988.91000000012</v>
      </c>
      <c r="O178" s="9">
        <f t="shared" si="19"/>
        <v>-64988.91000000012</v>
      </c>
      <c r="P178" s="10" t="e">
        <f t="shared" si="20"/>
        <v>#DIV/0!</v>
      </c>
      <c r="Q178" s="11" t="e">
        <f t="shared" si="21"/>
        <v>#DIV/0!</v>
      </c>
      <c r="U178" s="9"/>
    </row>
    <row r="179" spans="1:21">
      <c r="A179" s="83">
        <v>3159</v>
      </c>
      <c r="B179" s="60" t="s">
        <v>386</v>
      </c>
      <c r="C179" s="78">
        <f t="shared" si="17"/>
        <v>91169.0484</v>
      </c>
      <c r="D179" s="79">
        <v>1</v>
      </c>
      <c r="E179" s="80">
        <f t="shared" si="16"/>
        <v>0.12</v>
      </c>
      <c r="F179" s="81">
        <v>621083.67000000004</v>
      </c>
      <c r="G179" s="81">
        <v>0</v>
      </c>
      <c r="H179" s="81">
        <v>65946.649999999994</v>
      </c>
      <c r="I179" s="81">
        <v>16980</v>
      </c>
      <c r="J179" s="81">
        <v>35647</v>
      </c>
      <c r="K179" s="81">
        <v>20084.75</v>
      </c>
      <c r="L179" s="82">
        <f t="shared" si="18"/>
        <v>759742.07000000007</v>
      </c>
      <c r="M179" s="2">
        <f>Balances_form!$E$5</f>
        <v>0</v>
      </c>
      <c r="N179" s="82">
        <v>-89199.359999999608</v>
      </c>
      <c r="O179" s="9">
        <f t="shared" si="19"/>
        <v>-89199.359999999608</v>
      </c>
      <c r="P179" s="10" t="e">
        <f t="shared" si="20"/>
        <v>#DIV/0!</v>
      </c>
      <c r="Q179" s="11" t="e">
        <f t="shared" si="21"/>
        <v>#DIV/0!</v>
      </c>
      <c r="U179" s="9"/>
    </row>
    <row r="180" spans="1:21">
      <c r="A180" s="83">
        <v>3160</v>
      </c>
      <c r="B180" s="60" t="s">
        <v>387</v>
      </c>
      <c r="C180" s="78">
        <f t="shared" si="17"/>
        <v>79797.688799999989</v>
      </c>
      <c r="D180" s="79">
        <v>1</v>
      </c>
      <c r="E180" s="80">
        <f t="shared" ref="E180:E242" si="22">IF(D180=1,0.12,IF(D180=4,0.085,0.075))</f>
        <v>0.12</v>
      </c>
      <c r="F180" s="81">
        <v>598058.76</v>
      </c>
      <c r="G180" s="81">
        <v>0</v>
      </c>
      <c r="H180" s="81">
        <v>12730.98</v>
      </c>
      <c r="I180" s="81">
        <v>13635</v>
      </c>
      <c r="J180" s="81">
        <v>29578</v>
      </c>
      <c r="K180" s="81">
        <v>10978</v>
      </c>
      <c r="L180" s="82">
        <f t="shared" si="18"/>
        <v>664980.74</v>
      </c>
      <c r="M180" s="2">
        <f>Balances_form!$E$5</f>
        <v>0</v>
      </c>
      <c r="N180" s="82">
        <v>-34242.189999999915</v>
      </c>
      <c r="O180" s="9">
        <f t="shared" si="19"/>
        <v>-34242.189999999915</v>
      </c>
      <c r="P180" s="10" t="e">
        <f t="shared" si="20"/>
        <v>#DIV/0!</v>
      </c>
      <c r="Q180" s="11" t="e">
        <f t="shared" si="21"/>
        <v>#DIV/0!</v>
      </c>
      <c r="U180" s="9"/>
    </row>
    <row r="181" spans="1:21">
      <c r="A181" s="83">
        <v>3167</v>
      </c>
      <c r="B181" s="60" t="s">
        <v>388</v>
      </c>
      <c r="C181" s="78">
        <f t="shared" ref="C181:C242" si="23">IF(D181=1,L181*0.12,IF(D181=3,L181*0.085,L181*0.075))</f>
        <v>135560.0796</v>
      </c>
      <c r="D181" s="79">
        <v>1</v>
      </c>
      <c r="E181" s="80">
        <f t="shared" si="22"/>
        <v>0.12</v>
      </c>
      <c r="F181" s="81">
        <v>924132.71000000008</v>
      </c>
      <c r="G181" s="81">
        <v>0</v>
      </c>
      <c r="H181" s="81">
        <v>57630.869999999995</v>
      </c>
      <c r="I181" s="81">
        <v>96079</v>
      </c>
      <c r="J181" s="81">
        <v>33736</v>
      </c>
      <c r="K181" s="81">
        <v>18088.75</v>
      </c>
      <c r="L181" s="82">
        <f t="shared" si="18"/>
        <v>1129667.33</v>
      </c>
      <c r="M181" s="2">
        <f>Balances_form!$E$5</f>
        <v>0</v>
      </c>
      <c r="N181" s="82">
        <v>-13389.549999999654</v>
      </c>
      <c r="O181" s="9">
        <f t="shared" si="19"/>
        <v>-13389.549999999654</v>
      </c>
      <c r="P181" s="10" t="e">
        <f t="shared" si="20"/>
        <v>#DIV/0!</v>
      </c>
      <c r="Q181" s="11" t="e">
        <f t="shared" si="21"/>
        <v>#DIV/0!</v>
      </c>
      <c r="U181" s="9"/>
    </row>
    <row r="182" spans="1:21">
      <c r="A182" s="83">
        <v>3168</v>
      </c>
      <c r="B182" s="60" t="s">
        <v>389</v>
      </c>
      <c r="C182" s="78">
        <f t="shared" si="23"/>
        <v>79757.785199999998</v>
      </c>
      <c r="D182" s="79">
        <v>1</v>
      </c>
      <c r="E182" s="80">
        <f t="shared" si="22"/>
        <v>0.12</v>
      </c>
      <c r="F182" s="81">
        <v>510456.88999999996</v>
      </c>
      <c r="G182" s="81">
        <v>0</v>
      </c>
      <c r="H182" s="81">
        <v>113885.02999999998</v>
      </c>
      <c r="I182" s="81">
        <v>6060</v>
      </c>
      <c r="J182" s="81">
        <v>30803.29</v>
      </c>
      <c r="K182" s="81">
        <v>3443</v>
      </c>
      <c r="L182" s="82">
        <f t="shared" si="18"/>
        <v>664648.21</v>
      </c>
      <c r="M182" s="2">
        <f>Balances_form!$E$5</f>
        <v>0</v>
      </c>
      <c r="N182" s="82">
        <v>6566.0099999999857</v>
      </c>
      <c r="O182" s="9">
        <f t="shared" si="19"/>
        <v>6566.0099999999857</v>
      </c>
      <c r="P182" s="10" t="e">
        <f t="shared" si="20"/>
        <v>#DIV/0!</v>
      </c>
      <c r="Q182" s="11" t="str">
        <f t="shared" si="21"/>
        <v>Within Tolerance</v>
      </c>
      <c r="U182" s="9"/>
    </row>
    <row r="183" spans="1:21">
      <c r="A183" s="83">
        <v>3169</v>
      </c>
      <c r="B183" s="60" t="s">
        <v>390</v>
      </c>
      <c r="C183" s="78">
        <f t="shared" si="23"/>
        <v>129354.666</v>
      </c>
      <c r="D183" s="79">
        <v>1</v>
      </c>
      <c r="E183" s="80">
        <f t="shared" si="22"/>
        <v>0.12</v>
      </c>
      <c r="F183" s="81">
        <v>907321.79</v>
      </c>
      <c r="G183" s="81">
        <v>0</v>
      </c>
      <c r="H183" s="81">
        <v>42873.01</v>
      </c>
      <c r="I183" s="81">
        <v>73675</v>
      </c>
      <c r="J183" s="81">
        <v>35498</v>
      </c>
      <c r="K183" s="81">
        <v>18587.75</v>
      </c>
      <c r="L183" s="82">
        <f t="shared" si="18"/>
        <v>1077955.55</v>
      </c>
      <c r="M183" s="2">
        <f>Balances_form!$E$5</f>
        <v>0</v>
      </c>
      <c r="N183" s="82">
        <v>-88555.290000000154</v>
      </c>
      <c r="O183" s="9">
        <f t="shared" si="19"/>
        <v>-88555.290000000154</v>
      </c>
      <c r="P183" s="10" t="e">
        <f t="shared" si="20"/>
        <v>#DIV/0!</v>
      </c>
      <c r="Q183" s="11" t="e">
        <f t="shared" si="21"/>
        <v>#DIV/0!</v>
      </c>
      <c r="U183" s="9"/>
    </row>
    <row r="184" spans="1:21">
      <c r="A184" s="83">
        <v>3171</v>
      </c>
      <c r="B184" s="60" t="s">
        <v>391</v>
      </c>
      <c r="C184" s="78">
        <f t="shared" si="23"/>
        <v>77692.005600000004</v>
      </c>
      <c r="D184" s="79">
        <v>1</v>
      </c>
      <c r="E184" s="80">
        <f t="shared" si="22"/>
        <v>0.12</v>
      </c>
      <c r="F184" s="81">
        <v>493797.74</v>
      </c>
      <c r="G184" s="81">
        <v>0</v>
      </c>
      <c r="H184" s="81">
        <v>67872.639999999999</v>
      </c>
      <c r="I184" s="81">
        <v>53025</v>
      </c>
      <c r="J184" s="81">
        <v>24255</v>
      </c>
      <c r="K184" s="81">
        <v>8483</v>
      </c>
      <c r="L184" s="82">
        <f t="shared" si="18"/>
        <v>647433.38</v>
      </c>
      <c r="M184" s="2">
        <f>Balances_form!$E$5</f>
        <v>0</v>
      </c>
      <c r="N184" s="82">
        <v>-8479.5600000000195</v>
      </c>
      <c r="O184" s="9">
        <f t="shared" si="19"/>
        <v>-8479.5600000000195</v>
      </c>
      <c r="P184" s="10" t="e">
        <f t="shared" si="20"/>
        <v>#DIV/0!</v>
      </c>
      <c r="Q184" s="11" t="str">
        <f t="shared" si="21"/>
        <v>Within Tolerance</v>
      </c>
      <c r="U184" s="9"/>
    </row>
    <row r="185" spans="1:21">
      <c r="A185" s="83">
        <v>3175</v>
      </c>
      <c r="B185" s="60" t="s">
        <v>392</v>
      </c>
      <c r="C185" s="78">
        <f t="shared" si="23"/>
        <v>160366.73639999999</v>
      </c>
      <c r="D185" s="79">
        <v>1</v>
      </c>
      <c r="E185" s="80">
        <f t="shared" si="22"/>
        <v>0.12</v>
      </c>
      <c r="F185" s="81">
        <v>1093675.82</v>
      </c>
      <c r="G185" s="81">
        <v>0</v>
      </c>
      <c r="H185" s="81">
        <v>85392.72</v>
      </c>
      <c r="I185" s="81">
        <v>71190</v>
      </c>
      <c r="J185" s="81">
        <v>51720.93</v>
      </c>
      <c r="K185" s="81">
        <v>34410</v>
      </c>
      <c r="L185" s="82">
        <f t="shared" si="18"/>
        <v>1336389.47</v>
      </c>
      <c r="M185" s="2">
        <f>Balances_form!$E$5</f>
        <v>0</v>
      </c>
      <c r="N185" s="82">
        <v>-44558.1800000004</v>
      </c>
      <c r="O185" s="9">
        <f t="shared" si="19"/>
        <v>-44558.1800000004</v>
      </c>
      <c r="P185" s="10" t="e">
        <f t="shared" si="20"/>
        <v>#DIV/0!</v>
      </c>
      <c r="Q185" s="11" t="e">
        <f t="shared" si="21"/>
        <v>#DIV/0!</v>
      </c>
      <c r="U185" s="9"/>
    </row>
    <row r="186" spans="1:21">
      <c r="A186" s="83">
        <v>3178</v>
      </c>
      <c r="B186" s="60" t="s">
        <v>393</v>
      </c>
      <c r="C186" s="78">
        <f t="shared" si="23"/>
        <v>336038.3028</v>
      </c>
      <c r="D186" s="79">
        <v>1</v>
      </c>
      <c r="E186" s="80">
        <f t="shared" si="22"/>
        <v>0.12</v>
      </c>
      <c r="F186" s="81">
        <v>2287459.6</v>
      </c>
      <c r="G186" s="81">
        <v>0</v>
      </c>
      <c r="H186" s="81">
        <v>130873.59000000003</v>
      </c>
      <c r="I186" s="81">
        <v>228965</v>
      </c>
      <c r="J186" s="81">
        <v>64776</v>
      </c>
      <c r="K186" s="81">
        <v>88245</v>
      </c>
      <c r="L186" s="82">
        <f t="shared" si="18"/>
        <v>2800319.19</v>
      </c>
      <c r="M186" s="2">
        <f>Balances_form!$E$5</f>
        <v>0</v>
      </c>
      <c r="N186" s="82">
        <v>-318510.30000000028</v>
      </c>
      <c r="O186" s="9">
        <f t="shared" si="19"/>
        <v>-318510.30000000028</v>
      </c>
      <c r="P186" s="10" t="e">
        <f t="shared" si="20"/>
        <v>#DIV/0!</v>
      </c>
      <c r="Q186" s="11" t="e">
        <f t="shared" si="21"/>
        <v>#DIV/0!</v>
      </c>
      <c r="U186" s="9"/>
    </row>
    <row r="187" spans="1:21">
      <c r="A187" s="83">
        <v>3179</v>
      </c>
      <c r="B187" s="60" t="s">
        <v>394</v>
      </c>
      <c r="C187" s="78">
        <f t="shared" si="23"/>
        <v>438234.46680000005</v>
      </c>
      <c r="D187" s="79">
        <v>1</v>
      </c>
      <c r="E187" s="80">
        <f t="shared" si="22"/>
        <v>0.12</v>
      </c>
      <c r="F187" s="81">
        <v>2818005.3400000003</v>
      </c>
      <c r="G187" s="81">
        <v>0</v>
      </c>
      <c r="H187" s="81">
        <v>380653.05000000005</v>
      </c>
      <c r="I187" s="81">
        <v>362185</v>
      </c>
      <c r="J187" s="81">
        <v>49208</v>
      </c>
      <c r="K187" s="81">
        <v>41902.5</v>
      </c>
      <c r="L187" s="82">
        <f t="shared" si="18"/>
        <v>3651953.8900000006</v>
      </c>
      <c r="M187" s="2">
        <f>Balances_form!$E$5</f>
        <v>0</v>
      </c>
      <c r="N187" s="82">
        <v>-63237.2699999998</v>
      </c>
      <c r="O187" s="9">
        <f t="shared" si="19"/>
        <v>-63237.2699999998</v>
      </c>
      <c r="P187" s="10" t="e">
        <f t="shared" si="20"/>
        <v>#DIV/0!</v>
      </c>
      <c r="Q187" s="11" t="e">
        <f t="shared" si="21"/>
        <v>#DIV/0!</v>
      </c>
      <c r="U187" s="9"/>
    </row>
    <row r="188" spans="1:21">
      <c r="A188" s="83">
        <v>3181</v>
      </c>
      <c r="B188" s="60" t="s">
        <v>395</v>
      </c>
      <c r="C188" s="78">
        <f t="shared" si="23"/>
        <v>282281.60639999999</v>
      </c>
      <c r="D188" s="79">
        <v>1</v>
      </c>
      <c r="E188" s="80">
        <f t="shared" si="22"/>
        <v>0.12</v>
      </c>
      <c r="F188" s="81">
        <v>2034784.76</v>
      </c>
      <c r="G188" s="81">
        <v>0</v>
      </c>
      <c r="H188" s="81">
        <v>6820.03</v>
      </c>
      <c r="I188" s="81">
        <v>209505</v>
      </c>
      <c r="J188" s="81">
        <v>41334.080000000002</v>
      </c>
      <c r="K188" s="81">
        <v>59902.85</v>
      </c>
      <c r="L188" s="82">
        <f t="shared" si="18"/>
        <v>2352346.7200000002</v>
      </c>
      <c r="M188" s="2">
        <f>Balances_form!$E$5</f>
        <v>0</v>
      </c>
      <c r="N188" s="82">
        <v>-255976.20000000016</v>
      </c>
      <c r="O188" s="9">
        <f t="shared" si="19"/>
        <v>-255976.20000000016</v>
      </c>
      <c r="P188" s="10" t="e">
        <f t="shared" si="20"/>
        <v>#DIV/0!</v>
      </c>
      <c r="Q188" s="11" t="e">
        <f t="shared" si="21"/>
        <v>#DIV/0!</v>
      </c>
      <c r="U188" s="9"/>
    </row>
    <row r="189" spans="1:21">
      <c r="A189" s="83">
        <v>3182</v>
      </c>
      <c r="B189" s="60" t="s">
        <v>396</v>
      </c>
      <c r="C189" s="78">
        <f t="shared" si="23"/>
        <v>294681.54360000003</v>
      </c>
      <c r="D189" s="79">
        <v>1</v>
      </c>
      <c r="E189" s="80">
        <f t="shared" si="22"/>
        <v>0.12</v>
      </c>
      <c r="F189" s="81">
        <v>2027709.5300000003</v>
      </c>
      <c r="G189" s="81">
        <v>0</v>
      </c>
      <c r="H189" s="81">
        <v>124535.56999999999</v>
      </c>
      <c r="I189" s="81">
        <v>176178</v>
      </c>
      <c r="J189" s="81">
        <v>78138.929999999993</v>
      </c>
      <c r="K189" s="81">
        <v>49117.5</v>
      </c>
      <c r="L189" s="82">
        <f t="shared" si="18"/>
        <v>2455679.5300000003</v>
      </c>
      <c r="M189" s="2">
        <f>Balances_form!$E$5</f>
        <v>0</v>
      </c>
      <c r="N189" s="82">
        <v>-97575.460000001243</v>
      </c>
      <c r="O189" s="9">
        <f t="shared" si="19"/>
        <v>-97575.460000001243</v>
      </c>
      <c r="P189" s="10" t="e">
        <f t="shared" si="20"/>
        <v>#DIV/0!</v>
      </c>
      <c r="Q189" s="11" t="e">
        <f t="shared" si="21"/>
        <v>#DIV/0!</v>
      </c>
      <c r="U189" s="9"/>
    </row>
    <row r="190" spans="1:21">
      <c r="A190" s="83">
        <v>3183</v>
      </c>
      <c r="B190" s="60" t="s">
        <v>397</v>
      </c>
      <c r="C190" s="78">
        <f t="shared" si="23"/>
        <v>95220.228000000003</v>
      </c>
      <c r="D190" s="79">
        <v>1</v>
      </c>
      <c r="E190" s="80">
        <f t="shared" si="22"/>
        <v>0.12</v>
      </c>
      <c r="F190" s="81">
        <v>638821.12</v>
      </c>
      <c r="G190" s="81">
        <v>0</v>
      </c>
      <c r="H190" s="81">
        <v>53126.850000000006</v>
      </c>
      <c r="I190" s="81">
        <v>45050</v>
      </c>
      <c r="J190" s="81">
        <v>33050.93</v>
      </c>
      <c r="K190" s="81">
        <v>23453</v>
      </c>
      <c r="L190" s="82">
        <f t="shared" si="18"/>
        <v>793501.9</v>
      </c>
      <c r="M190" s="2">
        <f>Balances_form!$E$5</f>
        <v>0</v>
      </c>
      <c r="N190" s="82">
        <v>-84457.130000000194</v>
      </c>
      <c r="O190" s="9">
        <f t="shared" si="19"/>
        <v>-84457.130000000194</v>
      </c>
      <c r="P190" s="10" t="e">
        <f t="shared" si="20"/>
        <v>#DIV/0!</v>
      </c>
      <c r="Q190" s="11" t="e">
        <f t="shared" si="21"/>
        <v>#DIV/0!</v>
      </c>
      <c r="U190" s="9"/>
    </row>
    <row r="191" spans="1:21">
      <c r="A191" s="83">
        <v>3186</v>
      </c>
      <c r="B191" s="60" t="s">
        <v>398</v>
      </c>
      <c r="C191" s="78">
        <f t="shared" si="23"/>
        <v>159511.02840000001</v>
      </c>
      <c r="D191" s="79">
        <v>1</v>
      </c>
      <c r="E191" s="80">
        <f t="shared" si="22"/>
        <v>0.12</v>
      </c>
      <c r="F191" s="81">
        <v>1135413.81</v>
      </c>
      <c r="G191" s="81">
        <v>0</v>
      </c>
      <c r="H191" s="81">
        <v>41398.83</v>
      </c>
      <c r="I191" s="81">
        <v>65845</v>
      </c>
      <c r="J191" s="81">
        <v>68387.429999999993</v>
      </c>
      <c r="K191" s="81">
        <v>18213.5</v>
      </c>
      <c r="L191" s="82">
        <f t="shared" si="18"/>
        <v>1329258.57</v>
      </c>
      <c r="M191" s="2">
        <f>Balances_form!$E$5</f>
        <v>0</v>
      </c>
      <c r="N191" s="82">
        <v>-84583.159999999698</v>
      </c>
      <c r="O191" s="9">
        <f t="shared" si="19"/>
        <v>-84583.159999999698</v>
      </c>
      <c r="P191" s="10" t="e">
        <f t="shared" si="20"/>
        <v>#DIV/0!</v>
      </c>
      <c r="Q191" s="11" t="e">
        <f t="shared" si="21"/>
        <v>#DIV/0!</v>
      </c>
      <c r="U191" s="9"/>
    </row>
    <row r="192" spans="1:21">
      <c r="A192" s="83">
        <v>3198</v>
      </c>
      <c r="B192" s="60" t="s">
        <v>399</v>
      </c>
      <c r="C192" s="78">
        <f t="shared" si="23"/>
        <v>95414.140799999994</v>
      </c>
      <c r="D192" s="79">
        <v>1</v>
      </c>
      <c r="E192" s="80">
        <f t="shared" si="22"/>
        <v>0.12</v>
      </c>
      <c r="F192" s="81">
        <v>675066.61</v>
      </c>
      <c r="G192" s="81">
        <v>0</v>
      </c>
      <c r="H192" s="81">
        <v>45041.479999999996</v>
      </c>
      <c r="I192" s="81">
        <v>23840</v>
      </c>
      <c r="J192" s="81">
        <v>32083</v>
      </c>
      <c r="K192" s="81">
        <v>19086.75</v>
      </c>
      <c r="L192" s="82">
        <f t="shared" si="18"/>
        <v>795117.84</v>
      </c>
      <c r="M192" s="2">
        <f>Balances_form!$E$5</f>
        <v>0</v>
      </c>
      <c r="N192" s="82">
        <v>-45523.640000000116</v>
      </c>
      <c r="O192" s="9">
        <f t="shared" si="19"/>
        <v>-45523.640000000116</v>
      </c>
      <c r="P192" s="10" t="e">
        <f t="shared" si="20"/>
        <v>#DIV/0!</v>
      </c>
      <c r="Q192" s="11" t="e">
        <f t="shared" si="21"/>
        <v>#DIV/0!</v>
      </c>
      <c r="U192" s="9"/>
    </row>
    <row r="193" spans="1:21">
      <c r="A193" s="83">
        <v>3199</v>
      </c>
      <c r="B193" s="60" t="s">
        <v>400</v>
      </c>
      <c r="C193" s="78">
        <f t="shared" si="23"/>
        <v>145281.1776</v>
      </c>
      <c r="D193" s="79">
        <v>1</v>
      </c>
      <c r="E193" s="80">
        <f t="shared" si="22"/>
        <v>0.12</v>
      </c>
      <c r="F193" s="81">
        <v>1020381.14</v>
      </c>
      <c r="G193" s="81">
        <v>0</v>
      </c>
      <c r="H193" s="81">
        <v>48891.43</v>
      </c>
      <c r="I193" s="81">
        <v>55289.5</v>
      </c>
      <c r="J193" s="81">
        <v>74263.16</v>
      </c>
      <c r="K193" s="81">
        <v>11851.25</v>
      </c>
      <c r="L193" s="82">
        <f t="shared" si="18"/>
        <v>1210676.48</v>
      </c>
      <c r="M193" s="2">
        <f>Balances_form!$E$5</f>
        <v>0</v>
      </c>
      <c r="N193" s="82">
        <v>-119630.6600000006</v>
      </c>
      <c r="O193" s="9">
        <f t="shared" si="19"/>
        <v>-119630.6600000006</v>
      </c>
      <c r="P193" s="10" t="e">
        <f t="shared" si="20"/>
        <v>#DIV/0!</v>
      </c>
      <c r="Q193" s="11" t="e">
        <f t="shared" si="21"/>
        <v>#DIV/0!</v>
      </c>
      <c r="U193" s="9"/>
    </row>
    <row r="194" spans="1:21">
      <c r="A194" s="83">
        <v>3201</v>
      </c>
      <c r="B194" s="60" t="s">
        <v>401</v>
      </c>
      <c r="C194" s="78">
        <f t="shared" si="23"/>
        <v>77570.325599999996</v>
      </c>
      <c r="D194" s="79">
        <v>1</v>
      </c>
      <c r="E194" s="80">
        <f t="shared" si="22"/>
        <v>0.12</v>
      </c>
      <c r="F194" s="81">
        <v>553802.35</v>
      </c>
      <c r="G194" s="81">
        <v>0</v>
      </c>
      <c r="H194" s="81">
        <v>38473.03</v>
      </c>
      <c r="I194" s="81">
        <v>12120</v>
      </c>
      <c r="J194" s="81">
        <v>33042</v>
      </c>
      <c r="K194" s="81">
        <v>8982</v>
      </c>
      <c r="L194" s="82">
        <f t="shared" si="18"/>
        <v>646419.38</v>
      </c>
      <c r="M194" s="2">
        <f>Balances_form!$E$5</f>
        <v>0</v>
      </c>
      <c r="N194" s="82">
        <v>-17946.849999999817</v>
      </c>
      <c r="O194" s="9">
        <f t="shared" si="19"/>
        <v>-17946.849999999817</v>
      </c>
      <c r="P194" s="10" t="e">
        <f t="shared" si="20"/>
        <v>#DIV/0!</v>
      </c>
      <c r="Q194" s="11" t="e">
        <f t="shared" si="21"/>
        <v>#DIV/0!</v>
      </c>
      <c r="U194" s="9"/>
    </row>
    <row r="195" spans="1:21">
      <c r="A195" s="83">
        <v>3282</v>
      </c>
      <c r="B195" s="60" t="s">
        <v>402</v>
      </c>
      <c r="C195" s="78">
        <f t="shared" si="23"/>
        <v>155524.5288</v>
      </c>
      <c r="D195" s="79">
        <v>1</v>
      </c>
      <c r="E195" s="80">
        <f t="shared" si="22"/>
        <v>0.12</v>
      </c>
      <c r="F195" s="81">
        <v>1081830.74</v>
      </c>
      <c r="G195" s="81">
        <v>0</v>
      </c>
      <c r="H195" s="81">
        <v>49895.25</v>
      </c>
      <c r="I195" s="81">
        <v>103002</v>
      </c>
      <c r="J195" s="81">
        <v>42223</v>
      </c>
      <c r="K195" s="81">
        <v>19086.75</v>
      </c>
      <c r="L195" s="82">
        <f t="shared" si="18"/>
        <v>1296037.74</v>
      </c>
      <c r="M195" s="2">
        <f>Balances_form!$E$5</f>
        <v>0</v>
      </c>
      <c r="N195" s="82">
        <v>-49586.080000000504</v>
      </c>
      <c r="O195" s="9">
        <f t="shared" si="19"/>
        <v>-49586.080000000504</v>
      </c>
      <c r="P195" s="10" t="e">
        <f t="shared" si="20"/>
        <v>#DIV/0!</v>
      </c>
      <c r="Q195" s="11" t="e">
        <f t="shared" si="21"/>
        <v>#DIV/0!</v>
      </c>
      <c r="U195" s="9"/>
    </row>
    <row r="196" spans="1:21">
      <c r="A196" s="83">
        <v>3284</v>
      </c>
      <c r="B196" s="60" t="s">
        <v>403</v>
      </c>
      <c r="C196" s="78">
        <f t="shared" si="23"/>
        <v>307830.02279999998</v>
      </c>
      <c r="D196" s="79">
        <v>1</v>
      </c>
      <c r="E196" s="80">
        <f t="shared" si="22"/>
        <v>0.12</v>
      </c>
      <c r="F196" s="81">
        <v>2154596.2799999998</v>
      </c>
      <c r="G196" s="81">
        <v>0</v>
      </c>
      <c r="H196" s="81">
        <v>173161.08000000002</v>
      </c>
      <c r="I196" s="81">
        <v>77580</v>
      </c>
      <c r="J196" s="81">
        <v>106355.33</v>
      </c>
      <c r="K196" s="81">
        <v>53557.5</v>
      </c>
      <c r="L196" s="82">
        <f t="shared" si="18"/>
        <v>2565250.19</v>
      </c>
      <c r="M196" s="2">
        <f>Balances_form!$E$5</f>
        <v>0</v>
      </c>
      <c r="N196" s="82">
        <v>-170543.3299999992</v>
      </c>
      <c r="O196" s="9">
        <f t="shared" si="19"/>
        <v>-170543.3299999992</v>
      </c>
      <c r="P196" s="10" t="e">
        <f t="shared" si="20"/>
        <v>#DIV/0!</v>
      </c>
      <c r="Q196" s="11" t="e">
        <f t="shared" si="21"/>
        <v>#DIV/0!</v>
      </c>
      <c r="U196" s="9"/>
    </row>
    <row r="197" spans="1:21">
      <c r="A197" s="83">
        <v>3289</v>
      </c>
      <c r="B197" s="60" t="s">
        <v>404</v>
      </c>
      <c r="C197" s="78">
        <f t="shared" si="23"/>
        <v>104165.0784</v>
      </c>
      <c r="D197" s="79">
        <v>1</v>
      </c>
      <c r="E197" s="80">
        <f t="shared" si="22"/>
        <v>0.12</v>
      </c>
      <c r="F197" s="81">
        <v>718186.81</v>
      </c>
      <c r="G197" s="81">
        <v>0</v>
      </c>
      <c r="H197" s="81">
        <v>61698.83</v>
      </c>
      <c r="I197" s="81">
        <v>54577.5</v>
      </c>
      <c r="J197" s="81">
        <v>9751.93</v>
      </c>
      <c r="K197" s="81">
        <v>23827.25</v>
      </c>
      <c r="L197" s="82">
        <f t="shared" si="18"/>
        <v>868042.32000000007</v>
      </c>
      <c r="M197" s="2">
        <f>Balances_form!$E$5</f>
        <v>0</v>
      </c>
      <c r="N197" s="82">
        <v>-165822.38999999975</v>
      </c>
      <c r="O197" s="9">
        <f t="shared" si="19"/>
        <v>-165822.38999999975</v>
      </c>
      <c r="P197" s="10" t="e">
        <f t="shared" si="20"/>
        <v>#DIV/0!</v>
      </c>
      <c r="Q197" s="11" t="e">
        <f t="shared" si="21"/>
        <v>#DIV/0!</v>
      </c>
      <c r="U197" s="9"/>
    </row>
    <row r="198" spans="1:21">
      <c r="A198" s="83">
        <v>3294</v>
      </c>
      <c r="B198" s="60" t="s">
        <v>405</v>
      </c>
      <c r="C198" s="78">
        <f t="shared" si="23"/>
        <v>288026.91360000003</v>
      </c>
      <c r="D198" s="79">
        <v>1</v>
      </c>
      <c r="E198" s="80">
        <f t="shared" si="22"/>
        <v>0.12</v>
      </c>
      <c r="F198" s="81">
        <v>1912168.7200000002</v>
      </c>
      <c r="G198" s="81">
        <v>0</v>
      </c>
      <c r="H198" s="81">
        <v>152563.13</v>
      </c>
      <c r="I198" s="81">
        <v>243515</v>
      </c>
      <c r="J198" s="81">
        <v>50074.93</v>
      </c>
      <c r="K198" s="81">
        <v>41902.5</v>
      </c>
      <c r="L198" s="82">
        <f t="shared" si="18"/>
        <v>2400224.2800000003</v>
      </c>
      <c r="M198" s="2">
        <f>Balances_form!$E$5</f>
        <v>0</v>
      </c>
      <c r="N198" s="82">
        <v>-221967.89000000074</v>
      </c>
      <c r="O198" s="9">
        <f t="shared" si="19"/>
        <v>-221967.89000000074</v>
      </c>
      <c r="P198" s="10" t="e">
        <f t="shared" si="20"/>
        <v>#DIV/0!</v>
      </c>
      <c r="Q198" s="11" t="e">
        <f t="shared" si="21"/>
        <v>#DIV/0!</v>
      </c>
      <c r="U198" s="9"/>
    </row>
    <row r="199" spans="1:21">
      <c r="A199" s="83">
        <v>3295</v>
      </c>
      <c r="B199" s="60" t="s">
        <v>406</v>
      </c>
      <c r="C199" s="78">
        <f t="shared" si="23"/>
        <v>242767.40039999998</v>
      </c>
      <c r="D199" s="79">
        <v>1</v>
      </c>
      <c r="E199" s="80">
        <f t="shared" si="22"/>
        <v>0.12</v>
      </c>
      <c r="F199" s="81">
        <v>1605224.15</v>
      </c>
      <c r="G199" s="81">
        <v>0</v>
      </c>
      <c r="H199" s="81">
        <v>174687.52000000002</v>
      </c>
      <c r="I199" s="81">
        <v>55990</v>
      </c>
      <c r="J199" s="81">
        <v>131105</v>
      </c>
      <c r="K199" s="81">
        <v>56055</v>
      </c>
      <c r="L199" s="82">
        <f t="shared" si="18"/>
        <v>2023061.67</v>
      </c>
      <c r="M199" s="2">
        <f>Balances_form!$E$5</f>
        <v>0</v>
      </c>
      <c r="N199" s="82">
        <v>-226666.65000000008</v>
      </c>
      <c r="O199" s="9">
        <f t="shared" si="19"/>
        <v>-226666.65000000008</v>
      </c>
      <c r="P199" s="10" t="e">
        <f t="shared" si="20"/>
        <v>#DIV/0!</v>
      </c>
      <c r="Q199" s="11" t="e">
        <f t="shared" si="21"/>
        <v>#DIV/0!</v>
      </c>
      <c r="U199" s="9"/>
    </row>
    <row r="200" spans="1:21">
      <c r="A200" s="83">
        <v>3296</v>
      </c>
      <c r="B200" s="60" t="s">
        <v>407</v>
      </c>
      <c r="C200" s="78">
        <f t="shared" si="23"/>
        <v>339006.77880000003</v>
      </c>
      <c r="D200" s="79">
        <v>1</v>
      </c>
      <c r="E200" s="80">
        <f t="shared" si="22"/>
        <v>0.12</v>
      </c>
      <c r="F200" s="81">
        <v>2029559.73</v>
      </c>
      <c r="G200" s="81">
        <v>0</v>
      </c>
      <c r="H200" s="81">
        <v>521795.91000000003</v>
      </c>
      <c r="I200" s="81">
        <v>179885</v>
      </c>
      <c r="J200" s="81">
        <v>54688.35</v>
      </c>
      <c r="K200" s="81">
        <v>39127.5</v>
      </c>
      <c r="L200" s="82">
        <f t="shared" si="18"/>
        <v>2825056.49</v>
      </c>
      <c r="M200" s="2">
        <f>Balances_form!$E$5</f>
        <v>0</v>
      </c>
      <c r="N200" s="82">
        <v>-297738.01999999949</v>
      </c>
      <c r="O200" s="9">
        <f t="shared" si="19"/>
        <v>-297738.01999999949</v>
      </c>
      <c r="P200" s="10" t="e">
        <f t="shared" si="20"/>
        <v>#DIV/0!</v>
      </c>
      <c r="Q200" s="11" t="e">
        <f t="shared" si="21"/>
        <v>#DIV/0!</v>
      </c>
      <c r="U200" s="9"/>
    </row>
    <row r="201" spans="1:21">
      <c r="A201" s="83">
        <v>3297</v>
      </c>
      <c r="B201" s="60" t="s">
        <v>408</v>
      </c>
      <c r="C201" s="78">
        <f t="shared" si="23"/>
        <v>443554.6188</v>
      </c>
      <c r="D201" s="79">
        <v>1</v>
      </c>
      <c r="E201" s="80">
        <f t="shared" si="22"/>
        <v>0.12</v>
      </c>
      <c r="F201" s="81">
        <v>3159671.5300000003</v>
      </c>
      <c r="G201" s="81">
        <v>0</v>
      </c>
      <c r="H201" s="81">
        <v>164067.88</v>
      </c>
      <c r="I201" s="81">
        <v>141610</v>
      </c>
      <c r="J201" s="81">
        <v>151574.07999999999</v>
      </c>
      <c r="K201" s="81">
        <v>79365</v>
      </c>
      <c r="L201" s="82">
        <f t="shared" si="18"/>
        <v>3696288.49</v>
      </c>
      <c r="M201" s="2">
        <f>Balances_form!$E$5</f>
        <v>0</v>
      </c>
      <c r="N201" s="82">
        <v>-362170.0900000009</v>
      </c>
      <c r="O201" s="9">
        <f t="shared" si="19"/>
        <v>-362170.0900000009</v>
      </c>
      <c r="P201" s="10" t="e">
        <f t="shared" si="20"/>
        <v>#DIV/0!</v>
      </c>
      <c r="Q201" s="11" t="e">
        <f t="shared" si="21"/>
        <v>#DIV/0!</v>
      </c>
      <c r="U201" s="9"/>
    </row>
    <row r="202" spans="1:21">
      <c r="A202" s="83">
        <v>3298</v>
      </c>
      <c r="B202" s="60" t="s">
        <v>409</v>
      </c>
      <c r="C202" s="78">
        <f t="shared" si="23"/>
        <v>182351.28000000003</v>
      </c>
      <c r="D202" s="79">
        <v>1</v>
      </c>
      <c r="E202" s="80">
        <f t="shared" si="22"/>
        <v>0.12</v>
      </c>
      <c r="F202" s="81">
        <v>1175973.3</v>
      </c>
      <c r="G202" s="81">
        <v>0</v>
      </c>
      <c r="H202" s="81">
        <v>147748.08000000002</v>
      </c>
      <c r="I202" s="81">
        <v>115140</v>
      </c>
      <c r="J202" s="81">
        <v>52289.62</v>
      </c>
      <c r="K202" s="81">
        <v>28443</v>
      </c>
      <c r="L202" s="82">
        <f t="shared" si="18"/>
        <v>1519594.0000000002</v>
      </c>
      <c r="M202" s="2">
        <f>Balances_form!$E$5</f>
        <v>0</v>
      </c>
      <c r="N202" s="82">
        <v>-67754.060000000565</v>
      </c>
      <c r="O202" s="9">
        <f t="shared" si="19"/>
        <v>-67754.060000000565</v>
      </c>
      <c r="P202" s="10" t="e">
        <f t="shared" si="20"/>
        <v>#DIV/0!</v>
      </c>
      <c r="Q202" s="11" t="e">
        <f t="shared" si="21"/>
        <v>#DIV/0!</v>
      </c>
      <c r="U202" s="9"/>
    </row>
    <row r="203" spans="1:21">
      <c r="A203" s="83">
        <v>3299</v>
      </c>
      <c r="B203" s="60" t="s">
        <v>410</v>
      </c>
      <c r="C203" s="78">
        <f t="shared" si="23"/>
        <v>334364.8296</v>
      </c>
      <c r="D203" s="79">
        <v>1</v>
      </c>
      <c r="E203" s="80">
        <f t="shared" si="22"/>
        <v>0.12</v>
      </c>
      <c r="F203" s="81">
        <v>2296792.65</v>
      </c>
      <c r="G203" s="81">
        <v>0</v>
      </c>
      <c r="H203" s="81">
        <v>224268.53999999998</v>
      </c>
      <c r="I203" s="81">
        <v>151899</v>
      </c>
      <c r="J203" s="81">
        <v>101842.39</v>
      </c>
      <c r="K203" s="81">
        <v>11571</v>
      </c>
      <c r="L203" s="82">
        <f t="shared" si="18"/>
        <v>2786373.58</v>
      </c>
      <c r="M203" s="2">
        <f>Balances_form!$E$5</f>
        <v>0</v>
      </c>
      <c r="N203" s="82">
        <v>-5241.7000000007465</v>
      </c>
      <c r="O203" s="9">
        <f t="shared" si="19"/>
        <v>-5241.7000000007465</v>
      </c>
      <c r="P203" s="10" t="e">
        <f t="shared" si="20"/>
        <v>#DIV/0!</v>
      </c>
      <c r="Q203" s="11" t="str">
        <f t="shared" si="21"/>
        <v>Within Tolerance</v>
      </c>
      <c r="U203" s="9"/>
    </row>
    <row r="204" spans="1:21">
      <c r="A204" s="83">
        <v>3303</v>
      </c>
      <c r="B204" s="60" t="s">
        <v>411</v>
      </c>
      <c r="C204" s="78">
        <f t="shared" si="23"/>
        <v>126545.28720000001</v>
      </c>
      <c r="D204" s="79">
        <v>1</v>
      </c>
      <c r="E204" s="80">
        <f t="shared" si="22"/>
        <v>0.12</v>
      </c>
      <c r="F204" s="81">
        <v>936271.74</v>
      </c>
      <c r="G204" s="81">
        <v>0</v>
      </c>
      <c r="H204" s="81">
        <v>34177.79</v>
      </c>
      <c r="I204" s="81">
        <v>29100</v>
      </c>
      <c r="J204" s="81">
        <v>50004.53</v>
      </c>
      <c r="K204" s="81">
        <v>4990</v>
      </c>
      <c r="L204" s="82">
        <f t="shared" si="18"/>
        <v>1054544.06</v>
      </c>
      <c r="M204" s="2">
        <f>Balances_form!$E$5</f>
        <v>0</v>
      </c>
      <c r="N204" s="82">
        <v>-22308.939999999646</v>
      </c>
      <c r="O204" s="9">
        <f t="shared" si="19"/>
        <v>-22308.939999999646</v>
      </c>
      <c r="P204" s="10" t="e">
        <f t="shared" si="20"/>
        <v>#DIV/0!</v>
      </c>
      <c r="Q204" s="11" t="e">
        <f t="shared" si="21"/>
        <v>#DIV/0!</v>
      </c>
      <c r="U204" s="9"/>
    </row>
    <row r="205" spans="1:21">
      <c r="A205" s="83">
        <v>3307</v>
      </c>
      <c r="B205" s="60" t="s">
        <v>412</v>
      </c>
      <c r="C205" s="78">
        <f t="shared" si="23"/>
        <v>132119.826</v>
      </c>
      <c r="D205" s="79">
        <v>1</v>
      </c>
      <c r="E205" s="80">
        <f t="shared" si="22"/>
        <v>0.12</v>
      </c>
      <c r="F205" s="81">
        <v>1002541.25</v>
      </c>
      <c r="G205" s="81">
        <v>0</v>
      </c>
      <c r="H205" s="81">
        <v>15648.300000000001</v>
      </c>
      <c r="I205" s="81">
        <v>18180</v>
      </c>
      <c r="J205" s="81">
        <v>58746</v>
      </c>
      <c r="K205" s="81">
        <v>5883</v>
      </c>
      <c r="L205" s="82">
        <f t="shared" si="18"/>
        <v>1100998.55</v>
      </c>
      <c r="M205" s="2">
        <f>Balances_form!$E$5</f>
        <v>0</v>
      </c>
      <c r="N205" s="82">
        <v>-19810.730000000716</v>
      </c>
      <c r="O205" s="9">
        <f t="shared" si="19"/>
        <v>-19810.730000000716</v>
      </c>
      <c r="P205" s="10" t="e">
        <f t="shared" si="20"/>
        <v>#DIV/0!</v>
      </c>
      <c r="Q205" s="11" t="e">
        <f t="shared" si="21"/>
        <v>#DIV/0!</v>
      </c>
      <c r="U205" s="9"/>
    </row>
    <row r="206" spans="1:21">
      <c r="A206" s="83">
        <v>3308</v>
      </c>
      <c r="B206" s="60" t="s">
        <v>413</v>
      </c>
      <c r="C206" s="78">
        <f t="shared" si="23"/>
        <v>97679.899199999985</v>
      </c>
      <c r="D206" s="79">
        <v>1</v>
      </c>
      <c r="E206" s="80">
        <f t="shared" si="22"/>
        <v>0.12</v>
      </c>
      <c r="F206" s="81">
        <v>677028.6399999999</v>
      </c>
      <c r="G206" s="81">
        <v>0</v>
      </c>
      <c r="H206" s="81">
        <v>69360.180000000008</v>
      </c>
      <c r="I206" s="81">
        <v>10605</v>
      </c>
      <c r="J206" s="81">
        <v>50733.84</v>
      </c>
      <c r="K206" s="81">
        <v>6271.5</v>
      </c>
      <c r="L206" s="82">
        <f t="shared" si="18"/>
        <v>813999.15999999992</v>
      </c>
      <c r="M206" s="2">
        <f>Balances_form!$E$5</f>
        <v>0</v>
      </c>
      <c r="N206" s="82">
        <v>-62544.149999999805</v>
      </c>
      <c r="O206" s="9">
        <f t="shared" si="19"/>
        <v>-62544.149999999805</v>
      </c>
      <c r="P206" s="10" t="e">
        <f t="shared" si="20"/>
        <v>#DIV/0!</v>
      </c>
      <c r="Q206" s="11" t="e">
        <f t="shared" si="21"/>
        <v>#DIV/0!</v>
      </c>
      <c r="U206" s="9"/>
    </row>
    <row r="207" spans="1:21">
      <c r="A207" s="83">
        <v>3309</v>
      </c>
      <c r="B207" s="60" t="s">
        <v>414</v>
      </c>
      <c r="C207" s="78">
        <f t="shared" si="23"/>
        <v>135223.68119999999</v>
      </c>
      <c r="D207" s="79">
        <v>1</v>
      </c>
      <c r="E207" s="80">
        <f t="shared" si="22"/>
        <v>0.12</v>
      </c>
      <c r="F207" s="81">
        <v>934614.31</v>
      </c>
      <c r="G207" s="81">
        <v>0</v>
      </c>
      <c r="H207" s="81">
        <v>74431.199999999997</v>
      </c>
      <c r="I207" s="81">
        <v>59085</v>
      </c>
      <c r="J207" s="81">
        <v>49243</v>
      </c>
      <c r="K207" s="81">
        <v>9490.5</v>
      </c>
      <c r="L207" s="82">
        <f t="shared" si="18"/>
        <v>1126864.01</v>
      </c>
      <c r="M207" s="2">
        <f>Balances_form!$E$5</f>
        <v>0</v>
      </c>
      <c r="N207" s="82">
        <v>-34506.200000000244</v>
      </c>
      <c r="O207" s="9">
        <f t="shared" si="19"/>
        <v>-34506.200000000244</v>
      </c>
      <c r="P207" s="10" t="e">
        <f t="shared" si="20"/>
        <v>#DIV/0!</v>
      </c>
      <c r="Q207" s="11" t="e">
        <f t="shared" si="21"/>
        <v>#DIV/0!</v>
      </c>
      <c r="U207" s="9"/>
    </row>
    <row r="208" spans="1:21">
      <c r="A208" s="83">
        <v>3312</v>
      </c>
      <c r="B208" s="60" t="s">
        <v>415</v>
      </c>
      <c r="C208" s="78">
        <f t="shared" si="23"/>
        <v>142743.39119999998</v>
      </c>
      <c r="D208" s="79">
        <v>1</v>
      </c>
      <c r="E208" s="80">
        <f t="shared" si="22"/>
        <v>0.12</v>
      </c>
      <c r="F208" s="81">
        <v>972067.07000000007</v>
      </c>
      <c r="G208" s="81">
        <v>0</v>
      </c>
      <c r="H208" s="81">
        <v>114944.26000000001</v>
      </c>
      <c r="I208" s="81">
        <v>55890</v>
      </c>
      <c r="J208" s="81">
        <v>41836.53</v>
      </c>
      <c r="K208" s="81">
        <v>4790.3999999999996</v>
      </c>
      <c r="L208" s="82">
        <f t="shared" si="18"/>
        <v>1189528.26</v>
      </c>
      <c r="M208" s="2">
        <f>Balances_form!$E$5</f>
        <v>0</v>
      </c>
      <c r="N208" s="82">
        <v>-113169.91000000012</v>
      </c>
      <c r="O208" s="9">
        <f t="shared" si="19"/>
        <v>-113169.91000000012</v>
      </c>
      <c r="P208" s="10" t="e">
        <f t="shared" si="20"/>
        <v>#DIV/0!</v>
      </c>
      <c r="Q208" s="11" t="e">
        <f t="shared" si="21"/>
        <v>#DIV/0!</v>
      </c>
      <c r="U208" s="9"/>
    </row>
    <row r="209" spans="1:21">
      <c r="A209" s="83">
        <v>3314</v>
      </c>
      <c r="B209" s="60" t="s">
        <v>416</v>
      </c>
      <c r="C209" s="78">
        <f t="shared" si="23"/>
        <v>82797.698400000008</v>
      </c>
      <c r="D209" s="79">
        <v>1</v>
      </c>
      <c r="E209" s="80">
        <f t="shared" si="22"/>
        <v>0.12</v>
      </c>
      <c r="F209" s="81">
        <v>614273.66</v>
      </c>
      <c r="G209" s="81">
        <v>0</v>
      </c>
      <c r="H209" s="81">
        <v>17081.16</v>
      </c>
      <c r="I209" s="81">
        <v>24955</v>
      </c>
      <c r="J209" s="81">
        <v>31623</v>
      </c>
      <c r="K209" s="81">
        <v>2048</v>
      </c>
      <c r="L209" s="82">
        <f t="shared" ref="L209:L255" si="24">SUM(F209:K209)</f>
        <v>689980.82000000007</v>
      </c>
      <c r="M209" s="2">
        <f>Balances_form!$E$5</f>
        <v>0</v>
      </c>
      <c r="N209" s="82">
        <v>-50458.31999999992</v>
      </c>
      <c r="O209" s="9">
        <f t="shared" si="19"/>
        <v>-50458.31999999992</v>
      </c>
      <c r="P209" s="10" t="e">
        <f t="shared" si="20"/>
        <v>#DIV/0!</v>
      </c>
      <c r="Q209" s="11" t="e">
        <f t="shared" si="21"/>
        <v>#DIV/0!</v>
      </c>
      <c r="U209" s="9"/>
    </row>
    <row r="210" spans="1:21">
      <c r="A210" s="83">
        <v>3317</v>
      </c>
      <c r="B210" s="60" t="s">
        <v>417</v>
      </c>
      <c r="C210" s="78">
        <f t="shared" si="23"/>
        <v>288313.13639999996</v>
      </c>
      <c r="D210" s="79">
        <v>1</v>
      </c>
      <c r="E210" s="80">
        <f t="shared" si="22"/>
        <v>0.12</v>
      </c>
      <c r="F210" s="81">
        <v>2179238.96</v>
      </c>
      <c r="G210" s="81">
        <v>0</v>
      </c>
      <c r="H210" s="81">
        <v>74668.510000000009</v>
      </c>
      <c r="I210" s="81">
        <v>37075</v>
      </c>
      <c r="J210" s="81">
        <v>100527</v>
      </c>
      <c r="K210" s="81">
        <v>11100</v>
      </c>
      <c r="L210" s="82">
        <f t="shared" si="24"/>
        <v>2402609.4699999997</v>
      </c>
      <c r="M210" s="2">
        <f>Balances_form!$E$5</f>
        <v>0</v>
      </c>
      <c r="N210" s="82">
        <v>-67264.82000000056</v>
      </c>
      <c r="O210" s="9">
        <f t="shared" si="19"/>
        <v>-67264.82000000056</v>
      </c>
      <c r="P210" s="10" t="e">
        <f t="shared" si="20"/>
        <v>#DIV/0!</v>
      </c>
      <c r="Q210" s="11" t="e">
        <f t="shared" si="21"/>
        <v>#DIV/0!</v>
      </c>
      <c r="U210" s="9"/>
    </row>
    <row r="211" spans="1:21">
      <c r="A211" s="83">
        <v>3318</v>
      </c>
      <c r="B211" s="60" t="s">
        <v>418</v>
      </c>
      <c r="C211" s="78">
        <f t="shared" si="23"/>
        <v>110828.25720000001</v>
      </c>
      <c r="D211" s="79">
        <v>1</v>
      </c>
      <c r="E211" s="80">
        <f t="shared" si="22"/>
        <v>0.12</v>
      </c>
      <c r="F211" s="81">
        <v>816709.64</v>
      </c>
      <c r="G211" s="81">
        <v>0</v>
      </c>
      <c r="H211" s="81">
        <v>21691.62</v>
      </c>
      <c r="I211" s="81">
        <v>13585</v>
      </c>
      <c r="J211" s="81">
        <v>68863</v>
      </c>
      <c r="K211" s="81">
        <v>2719.55</v>
      </c>
      <c r="L211" s="82">
        <f t="shared" si="24"/>
        <v>923568.81</v>
      </c>
      <c r="M211" s="2">
        <f>Balances_form!$E$5</f>
        <v>0</v>
      </c>
      <c r="N211" s="82">
        <v>-66857.579999999958</v>
      </c>
      <c r="O211" s="9">
        <f t="shared" si="19"/>
        <v>-66857.579999999958</v>
      </c>
      <c r="P211" s="10" t="e">
        <f t="shared" si="20"/>
        <v>#DIV/0!</v>
      </c>
      <c r="Q211" s="11" t="e">
        <f t="shared" si="21"/>
        <v>#DIV/0!</v>
      </c>
      <c r="U211" s="9"/>
    </row>
    <row r="212" spans="1:21">
      <c r="A212" s="83">
        <v>3320</v>
      </c>
      <c r="B212" s="60" t="s">
        <v>419</v>
      </c>
      <c r="C212" s="78">
        <f t="shared" si="23"/>
        <v>171039.6348</v>
      </c>
      <c r="D212" s="79">
        <v>1</v>
      </c>
      <c r="E212" s="80">
        <f t="shared" si="22"/>
        <v>0.12</v>
      </c>
      <c r="F212" s="81">
        <v>1213912.68</v>
      </c>
      <c r="G212" s="81">
        <v>0</v>
      </c>
      <c r="H212" s="81">
        <v>62913.62</v>
      </c>
      <c r="I212" s="81">
        <v>100831.98999999999</v>
      </c>
      <c r="J212" s="81">
        <v>44702</v>
      </c>
      <c r="K212" s="81">
        <v>2970</v>
      </c>
      <c r="L212" s="82">
        <f t="shared" si="24"/>
        <v>1425330.29</v>
      </c>
      <c r="M212" s="2">
        <f>Balances_form!$E$5</f>
        <v>0</v>
      </c>
      <c r="N212" s="82">
        <v>-9428.0400000006157</v>
      </c>
      <c r="O212" s="9">
        <f t="shared" si="19"/>
        <v>-9428.0400000006157</v>
      </c>
      <c r="P212" s="10" t="e">
        <f t="shared" si="20"/>
        <v>#DIV/0!</v>
      </c>
      <c r="Q212" s="11" t="str">
        <f t="shared" si="21"/>
        <v>Within Tolerance</v>
      </c>
      <c r="U212" s="9"/>
    </row>
    <row r="213" spans="1:21">
      <c r="A213" s="83">
        <v>3322</v>
      </c>
      <c r="B213" s="60" t="s">
        <v>420</v>
      </c>
      <c r="C213" s="78">
        <f t="shared" si="23"/>
        <v>430244.7084</v>
      </c>
      <c r="D213" s="79">
        <v>1</v>
      </c>
      <c r="E213" s="80">
        <f t="shared" si="22"/>
        <v>0.12</v>
      </c>
      <c r="F213" s="81">
        <v>3196351.77</v>
      </c>
      <c r="G213" s="81">
        <v>0</v>
      </c>
      <c r="H213" s="81">
        <v>154917.87</v>
      </c>
      <c r="I213" s="81">
        <v>94960</v>
      </c>
      <c r="J213" s="81">
        <v>125822.93</v>
      </c>
      <c r="K213" s="81">
        <v>13320</v>
      </c>
      <c r="L213" s="82">
        <f t="shared" si="24"/>
        <v>3585372.5700000003</v>
      </c>
      <c r="M213" s="2">
        <f>Balances_form!$E$5</f>
        <v>0</v>
      </c>
      <c r="N213" s="82">
        <v>-137711.21999999881</v>
      </c>
      <c r="O213" s="9">
        <f t="shared" si="19"/>
        <v>-137711.21999999881</v>
      </c>
      <c r="P213" s="10" t="e">
        <f t="shared" si="20"/>
        <v>#DIV/0!</v>
      </c>
      <c r="Q213" s="11" t="e">
        <f t="shared" si="21"/>
        <v>#DIV/0!</v>
      </c>
      <c r="U213" s="9"/>
    </row>
    <row r="214" spans="1:21">
      <c r="A214" s="83">
        <v>3323</v>
      </c>
      <c r="B214" s="60" t="s">
        <v>421</v>
      </c>
      <c r="C214" s="78">
        <f t="shared" si="23"/>
        <v>96818.73599999999</v>
      </c>
      <c r="D214" s="79">
        <v>1</v>
      </c>
      <c r="E214" s="80">
        <f t="shared" si="22"/>
        <v>0.12</v>
      </c>
      <c r="F214" s="81">
        <v>677825.67999999993</v>
      </c>
      <c r="G214" s="81">
        <v>0</v>
      </c>
      <c r="H214" s="81">
        <v>54174.619999999995</v>
      </c>
      <c r="I214" s="81">
        <v>41847.300000000003</v>
      </c>
      <c r="J214" s="81">
        <v>30081</v>
      </c>
      <c r="K214" s="81">
        <v>2894.2</v>
      </c>
      <c r="L214" s="82">
        <f t="shared" si="24"/>
        <v>806822.79999999993</v>
      </c>
      <c r="M214" s="2">
        <f>Balances_form!$E$5</f>
        <v>0</v>
      </c>
      <c r="N214" s="82">
        <v>-44745.989999999925</v>
      </c>
      <c r="O214" s="9">
        <f t="shared" si="19"/>
        <v>-44745.989999999925</v>
      </c>
      <c r="P214" s="10" t="e">
        <f t="shared" si="20"/>
        <v>#DIV/0!</v>
      </c>
      <c r="Q214" s="11" t="e">
        <f t="shared" si="21"/>
        <v>#DIV/0!</v>
      </c>
      <c r="U214" s="368" t="s">
        <v>422</v>
      </c>
    </row>
    <row r="215" spans="1:21">
      <c r="A215" s="83">
        <v>3325</v>
      </c>
      <c r="B215" s="60" t="s">
        <v>423</v>
      </c>
      <c r="C215" s="78">
        <f t="shared" si="23"/>
        <v>122305.91759999999</v>
      </c>
      <c r="D215" s="79">
        <v>1</v>
      </c>
      <c r="E215" s="80">
        <f t="shared" si="22"/>
        <v>0.12</v>
      </c>
      <c r="F215" s="81">
        <v>896303.23</v>
      </c>
      <c r="G215" s="81">
        <v>0</v>
      </c>
      <c r="H215" s="81">
        <v>47007.75</v>
      </c>
      <c r="I215" s="81">
        <v>32165</v>
      </c>
      <c r="J215" s="81">
        <v>40822</v>
      </c>
      <c r="K215" s="81">
        <v>2918</v>
      </c>
      <c r="L215" s="82">
        <f t="shared" si="24"/>
        <v>1019215.98</v>
      </c>
      <c r="M215" s="2">
        <f>Balances_form!$E$5</f>
        <v>0</v>
      </c>
      <c r="N215" s="82">
        <v>-10019.160000000309</v>
      </c>
      <c r="O215" s="9">
        <f t="shared" si="19"/>
        <v>-10019.160000000309</v>
      </c>
      <c r="P215" s="10" t="e">
        <f t="shared" si="20"/>
        <v>#DIV/0!</v>
      </c>
      <c r="Q215" s="11" t="e">
        <f t="shared" si="21"/>
        <v>#DIV/0!</v>
      </c>
      <c r="U215" s="368"/>
    </row>
    <row r="216" spans="1:21">
      <c r="A216" s="83">
        <v>3328</v>
      </c>
      <c r="B216" s="60" t="s">
        <v>424</v>
      </c>
      <c r="C216" s="78">
        <f t="shared" si="23"/>
        <v>151995.72</v>
      </c>
      <c r="D216" s="79">
        <v>1</v>
      </c>
      <c r="E216" s="80">
        <f t="shared" si="22"/>
        <v>0.12</v>
      </c>
      <c r="F216" s="81">
        <v>1102721.24</v>
      </c>
      <c r="G216" s="81">
        <v>0</v>
      </c>
      <c r="H216" s="81">
        <v>69143.11</v>
      </c>
      <c r="I216" s="81">
        <v>47315</v>
      </c>
      <c r="J216" s="81">
        <v>43285</v>
      </c>
      <c r="K216" s="81">
        <v>4166.6499999999996</v>
      </c>
      <c r="L216" s="82">
        <f t="shared" si="24"/>
        <v>1266631</v>
      </c>
      <c r="M216" s="2">
        <f>Balances_form!$E$5</f>
        <v>0</v>
      </c>
      <c r="N216" s="82">
        <v>-31297.570000000429</v>
      </c>
      <c r="O216" s="9">
        <f t="shared" si="19"/>
        <v>-31297.570000000429</v>
      </c>
      <c r="P216" s="10" t="e">
        <f t="shared" si="20"/>
        <v>#DIV/0!</v>
      </c>
      <c r="Q216" s="11" t="e">
        <f t="shared" si="21"/>
        <v>#DIV/0!</v>
      </c>
      <c r="U216" s="368"/>
    </row>
    <row r="217" spans="1:21">
      <c r="A217" s="83">
        <v>3332</v>
      </c>
      <c r="B217" s="60" t="s">
        <v>425</v>
      </c>
      <c r="C217" s="78">
        <f t="shared" si="23"/>
        <v>94321.195200000002</v>
      </c>
      <c r="D217" s="79">
        <v>1</v>
      </c>
      <c r="E217" s="80">
        <f t="shared" si="22"/>
        <v>0.12</v>
      </c>
      <c r="F217" s="81">
        <v>673598.61</v>
      </c>
      <c r="G217" s="81">
        <v>0</v>
      </c>
      <c r="H217" s="81">
        <v>51005.42</v>
      </c>
      <c r="I217" s="81">
        <v>29895</v>
      </c>
      <c r="J217" s="81">
        <v>29539.93</v>
      </c>
      <c r="K217" s="81">
        <v>1971</v>
      </c>
      <c r="L217" s="82">
        <f t="shared" si="24"/>
        <v>786009.96000000008</v>
      </c>
      <c r="M217" s="2">
        <f>Balances_form!$E$5</f>
        <v>0</v>
      </c>
      <c r="N217" s="82">
        <v>-57699.439999999886</v>
      </c>
      <c r="O217" s="9">
        <f t="shared" si="19"/>
        <v>-57699.439999999886</v>
      </c>
      <c r="P217" s="10" t="e">
        <f t="shared" si="20"/>
        <v>#DIV/0!</v>
      </c>
      <c r="Q217" s="11" t="e">
        <f t="shared" si="21"/>
        <v>#DIV/0!</v>
      </c>
      <c r="U217" s="368"/>
    </row>
    <row r="218" spans="1:21">
      <c r="A218" s="83">
        <v>3337</v>
      </c>
      <c r="B218" s="60" t="s">
        <v>426</v>
      </c>
      <c r="C218" s="78">
        <f t="shared" si="23"/>
        <v>283713.924</v>
      </c>
      <c r="D218" s="79">
        <v>1</v>
      </c>
      <c r="E218" s="80">
        <f t="shared" si="22"/>
        <v>0.12</v>
      </c>
      <c r="F218" s="81">
        <v>2126872.91</v>
      </c>
      <c r="G218" s="81">
        <v>0</v>
      </c>
      <c r="H218" s="81">
        <v>88938.859999999986</v>
      </c>
      <c r="I218" s="81">
        <v>38125</v>
      </c>
      <c r="J218" s="81">
        <v>92807.93</v>
      </c>
      <c r="K218" s="81">
        <v>17538</v>
      </c>
      <c r="L218" s="82">
        <f t="shared" si="24"/>
        <v>2364282.7000000002</v>
      </c>
      <c r="M218" s="2">
        <f>Balances_form!$E$5</f>
        <v>0</v>
      </c>
      <c r="N218" s="82">
        <v>-123491.34000000132</v>
      </c>
      <c r="O218" s="9">
        <f t="shared" si="19"/>
        <v>-123491.34000000132</v>
      </c>
      <c r="P218" s="10" t="e">
        <f t="shared" si="20"/>
        <v>#DIV/0!</v>
      </c>
      <c r="Q218" s="11" t="e">
        <f t="shared" si="21"/>
        <v>#DIV/0!</v>
      </c>
      <c r="U218" s="368"/>
    </row>
    <row r="219" spans="1:21">
      <c r="A219" s="83">
        <v>3338</v>
      </c>
      <c r="B219" s="60" t="s">
        <v>427</v>
      </c>
      <c r="C219" s="78">
        <f t="shared" si="23"/>
        <v>261558.46920000002</v>
      </c>
      <c r="D219" s="79">
        <v>1</v>
      </c>
      <c r="E219" s="80">
        <f t="shared" si="22"/>
        <v>0.12</v>
      </c>
      <c r="F219" s="81">
        <v>1887875</v>
      </c>
      <c r="G219" s="81">
        <v>0</v>
      </c>
      <c r="H219" s="81">
        <v>160327.62</v>
      </c>
      <c r="I219" s="81">
        <v>103650</v>
      </c>
      <c r="J219" s="81">
        <v>18588.29</v>
      </c>
      <c r="K219" s="81">
        <v>9213</v>
      </c>
      <c r="L219" s="82">
        <f t="shared" si="24"/>
        <v>2179653.91</v>
      </c>
      <c r="M219" s="2">
        <f>Balances_form!$E$5</f>
        <v>0</v>
      </c>
      <c r="N219" s="82">
        <v>-245314.39000000051</v>
      </c>
      <c r="O219" s="9">
        <f t="shared" si="19"/>
        <v>-245314.39000000051</v>
      </c>
      <c r="P219" s="10" t="e">
        <f t="shared" si="20"/>
        <v>#DIV/0!</v>
      </c>
      <c r="Q219" s="11" t="e">
        <f t="shared" si="21"/>
        <v>#DIV/0!</v>
      </c>
      <c r="U219" s="9"/>
    </row>
    <row r="220" spans="1:21">
      <c r="A220" s="83">
        <v>3339</v>
      </c>
      <c r="B220" s="60" t="s">
        <v>428</v>
      </c>
      <c r="C220" s="78">
        <f t="shared" si="23"/>
        <v>163034.13359999997</v>
      </c>
      <c r="D220" s="79">
        <v>1</v>
      </c>
      <c r="E220" s="80">
        <f t="shared" si="22"/>
        <v>0.12</v>
      </c>
      <c r="F220" s="81">
        <v>1170145.42</v>
      </c>
      <c r="G220" s="81">
        <v>0</v>
      </c>
      <c r="H220" s="81">
        <v>87379.38</v>
      </c>
      <c r="I220" s="81">
        <v>76695</v>
      </c>
      <c r="J220" s="81">
        <v>19931.93</v>
      </c>
      <c r="K220" s="81">
        <v>4466.05</v>
      </c>
      <c r="L220" s="82">
        <f t="shared" si="24"/>
        <v>1358617.7799999998</v>
      </c>
      <c r="M220" s="2">
        <f>Balances_form!$E$5</f>
        <v>0</v>
      </c>
      <c r="N220" s="82">
        <v>-35334.040000000328</v>
      </c>
      <c r="O220" s="9">
        <f t="shared" ref="O220:O268" si="25">N220-M220</f>
        <v>-35334.040000000328</v>
      </c>
      <c r="P220" s="10" t="e">
        <f t="shared" ref="P220:P268" si="26">O220/M220</f>
        <v>#DIV/0!</v>
      </c>
      <c r="Q220" s="11" t="e">
        <f t="shared" ref="Q220:Q268" si="27">IF(AND(O220&lt;$Q$2,O220&gt;-$Q$2),"Within Tolerance",IF(AND(P220&lt;$R$2,P220&gt;-$R$2),"Within Tolerance",O220))</f>
        <v>#DIV/0!</v>
      </c>
      <c r="U220" s="9"/>
    </row>
    <row r="221" spans="1:21">
      <c r="A221" s="83">
        <v>3340</v>
      </c>
      <c r="B221" s="60" t="s">
        <v>429</v>
      </c>
      <c r="C221" s="78">
        <f t="shared" si="23"/>
        <v>315557.58480000001</v>
      </c>
      <c r="D221" s="79">
        <v>1</v>
      </c>
      <c r="E221" s="80">
        <f t="shared" si="22"/>
        <v>0.12</v>
      </c>
      <c r="F221" s="81">
        <v>2214512.9900000002</v>
      </c>
      <c r="G221" s="81">
        <v>0</v>
      </c>
      <c r="H221" s="81">
        <v>109323.54999999999</v>
      </c>
      <c r="I221" s="81">
        <v>178855</v>
      </c>
      <c r="J221" s="81">
        <v>84459</v>
      </c>
      <c r="K221" s="81">
        <v>42496</v>
      </c>
      <c r="L221" s="82">
        <f t="shared" si="24"/>
        <v>2629646.54</v>
      </c>
      <c r="M221" s="2">
        <f>Balances_form!$E$5</f>
        <v>0</v>
      </c>
      <c r="N221" s="82">
        <v>-115323.30000000054</v>
      </c>
      <c r="O221" s="9">
        <f t="shared" si="25"/>
        <v>-115323.30000000054</v>
      </c>
      <c r="P221" s="10" t="e">
        <f t="shared" si="26"/>
        <v>#DIV/0!</v>
      </c>
      <c r="Q221" s="11" t="e">
        <f t="shared" si="27"/>
        <v>#DIV/0!</v>
      </c>
      <c r="U221" s="9"/>
    </row>
    <row r="222" spans="1:21">
      <c r="A222" s="83">
        <v>3346</v>
      </c>
      <c r="B222" s="60" t="s">
        <v>430</v>
      </c>
      <c r="C222" s="78">
        <f t="shared" si="23"/>
        <v>116505.15119999999</v>
      </c>
      <c r="D222" s="79">
        <v>1</v>
      </c>
      <c r="E222" s="80">
        <f t="shared" si="22"/>
        <v>0.12</v>
      </c>
      <c r="F222" s="81">
        <v>797742.11</v>
      </c>
      <c r="G222" s="81">
        <v>0</v>
      </c>
      <c r="H222" s="81">
        <v>64449.359999999993</v>
      </c>
      <c r="I222" s="81">
        <v>36360</v>
      </c>
      <c r="J222" s="81">
        <v>67958.540000000008</v>
      </c>
      <c r="K222" s="81">
        <v>4366.25</v>
      </c>
      <c r="L222" s="82">
        <f t="shared" si="24"/>
        <v>970876.26</v>
      </c>
      <c r="M222" s="2">
        <f>Balances_form!$E$5</f>
        <v>0</v>
      </c>
      <c r="N222" s="82">
        <v>-101558.97000000015</v>
      </c>
      <c r="O222" s="9">
        <f t="shared" si="25"/>
        <v>-101558.97000000015</v>
      </c>
      <c r="P222" s="10" t="e">
        <f t="shared" si="26"/>
        <v>#DIV/0!</v>
      </c>
      <c r="Q222" s="11" t="e">
        <f t="shared" si="27"/>
        <v>#DIV/0!</v>
      </c>
      <c r="U222" s="9"/>
    </row>
    <row r="223" spans="1:21">
      <c r="A223" s="83">
        <v>3347</v>
      </c>
      <c r="B223" s="60" t="s">
        <v>431</v>
      </c>
      <c r="C223" s="78">
        <f t="shared" si="23"/>
        <v>88301.067599999995</v>
      </c>
      <c r="D223" s="79">
        <v>1</v>
      </c>
      <c r="E223" s="80">
        <f t="shared" si="22"/>
        <v>0.12</v>
      </c>
      <c r="F223" s="81">
        <v>659643.48</v>
      </c>
      <c r="G223" s="81">
        <v>0</v>
      </c>
      <c r="H223" s="81">
        <v>18088</v>
      </c>
      <c r="I223" s="81">
        <v>24240</v>
      </c>
      <c r="J223" s="81">
        <v>30752</v>
      </c>
      <c r="K223" s="81">
        <v>3118.75</v>
      </c>
      <c r="L223" s="82">
        <f t="shared" si="24"/>
        <v>735842.23</v>
      </c>
      <c r="M223" s="2">
        <f>Balances_form!$E$5</f>
        <v>0</v>
      </c>
      <c r="N223" s="82">
        <v>-61969.210000000312</v>
      </c>
      <c r="O223" s="9">
        <f t="shared" si="25"/>
        <v>-61969.210000000312</v>
      </c>
      <c r="P223" s="10" t="e">
        <f t="shared" si="26"/>
        <v>#DIV/0!</v>
      </c>
      <c r="Q223" s="11" t="e">
        <f t="shared" si="27"/>
        <v>#DIV/0!</v>
      </c>
      <c r="U223" s="9"/>
    </row>
    <row r="224" spans="1:21">
      <c r="A224" s="83">
        <v>3350</v>
      </c>
      <c r="B224" s="60" t="s">
        <v>432</v>
      </c>
      <c r="C224" s="78">
        <f t="shared" si="23"/>
        <v>142228.88760000002</v>
      </c>
      <c r="D224" s="79">
        <v>1</v>
      </c>
      <c r="E224" s="80">
        <f t="shared" si="22"/>
        <v>0.12</v>
      </c>
      <c r="F224" s="81">
        <v>1061028.05</v>
      </c>
      <c r="G224" s="81">
        <v>0</v>
      </c>
      <c r="H224" s="81">
        <v>32035.609999999997</v>
      </c>
      <c r="I224" s="81">
        <v>30600</v>
      </c>
      <c r="J224" s="81">
        <v>55527.57</v>
      </c>
      <c r="K224" s="81">
        <v>6049.5</v>
      </c>
      <c r="L224" s="82">
        <f t="shared" si="24"/>
        <v>1185240.7300000002</v>
      </c>
      <c r="M224" s="2">
        <f>Balances_form!$E$5</f>
        <v>0</v>
      </c>
      <c r="N224" s="82">
        <v>-62614.660000000185</v>
      </c>
      <c r="O224" s="9">
        <f t="shared" si="25"/>
        <v>-62614.660000000185</v>
      </c>
      <c r="P224" s="10" t="e">
        <f t="shared" si="26"/>
        <v>#DIV/0!</v>
      </c>
      <c r="Q224" s="11" t="e">
        <f t="shared" si="27"/>
        <v>#DIV/0!</v>
      </c>
      <c r="U224" s="9"/>
    </row>
    <row r="225" spans="1:21">
      <c r="A225" s="83">
        <v>3351</v>
      </c>
      <c r="B225" s="60" t="s">
        <v>433</v>
      </c>
      <c r="C225" s="78">
        <f t="shared" si="23"/>
        <v>141259.7328</v>
      </c>
      <c r="D225" s="79">
        <v>1</v>
      </c>
      <c r="E225" s="80">
        <f t="shared" si="22"/>
        <v>0.12</v>
      </c>
      <c r="F225" s="81">
        <v>982303</v>
      </c>
      <c r="G225" s="81">
        <v>0</v>
      </c>
      <c r="H225" s="81">
        <v>65981.440000000002</v>
      </c>
      <c r="I225" s="81">
        <v>74020</v>
      </c>
      <c r="J225" s="81">
        <v>47312</v>
      </c>
      <c r="K225" s="81">
        <v>7548</v>
      </c>
      <c r="L225" s="82">
        <f t="shared" si="24"/>
        <v>1177164.44</v>
      </c>
      <c r="M225" s="2">
        <f>Balances_form!$E$5</f>
        <v>0</v>
      </c>
      <c r="N225" s="82">
        <v>-33070.489999999831</v>
      </c>
      <c r="O225" s="9">
        <f t="shared" si="25"/>
        <v>-33070.489999999831</v>
      </c>
      <c r="P225" s="10" t="e">
        <f t="shared" si="26"/>
        <v>#DIV/0!</v>
      </c>
      <c r="Q225" s="11" t="e">
        <f t="shared" si="27"/>
        <v>#DIV/0!</v>
      </c>
      <c r="U225" s="9"/>
    </row>
    <row r="226" spans="1:21">
      <c r="A226" s="83">
        <v>3356</v>
      </c>
      <c r="B226" s="60" t="s">
        <v>434</v>
      </c>
      <c r="C226" s="78">
        <f t="shared" si="23"/>
        <v>178543.13999999998</v>
      </c>
      <c r="D226" s="79">
        <v>1</v>
      </c>
      <c r="E226" s="80">
        <f t="shared" si="22"/>
        <v>0.12</v>
      </c>
      <c r="F226" s="81">
        <v>1203240.54</v>
      </c>
      <c r="G226" s="81">
        <v>0</v>
      </c>
      <c r="H226" s="81">
        <v>82224.639999999999</v>
      </c>
      <c r="I226" s="81">
        <v>165135</v>
      </c>
      <c r="J226" s="81">
        <v>33927</v>
      </c>
      <c r="K226" s="81">
        <v>3332.32</v>
      </c>
      <c r="L226" s="82">
        <f t="shared" si="24"/>
        <v>1487859.5</v>
      </c>
      <c r="M226" s="2">
        <f>Balances_form!$E$5</f>
        <v>0</v>
      </c>
      <c r="N226" s="82">
        <v>-139116.67000000062</v>
      </c>
      <c r="O226" s="9">
        <f t="shared" si="25"/>
        <v>-139116.67000000062</v>
      </c>
      <c r="P226" s="10" t="e">
        <f t="shared" si="26"/>
        <v>#DIV/0!</v>
      </c>
      <c r="Q226" s="11" t="e">
        <f t="shared" si="27"/>
        <v>#DIV/0!</v>
      </c>
      <c r="U226" s="9"/>
    </row>
    <row r="227" spans="1:21">
      <c r="A227" s="83">
        <v>3360</v>
      </c>
      <c r="B227" s="60" t="s">
        <v>435</v>
      </c>
      <c r="C227" s="78">
        <f t="shared" si="23"/>
        <v>259201.0992</v>
      </c>
      <c r="D227" s="79">
        <v>1</v>
      </c>
      <c r="E227" s="80">
        <f t="shared" si="22"/>
        <v>0.12</v>
      </c>
      <c r="F227" s="81">
        <v>1870726.2</v>
      </c>
      <c r="G227" s="81">
        <v>0</v>
      </c>
      <c r="H227" s="81">
        <v>62088.67</v>
      </c>
      <c r="I227" s="81">
        <v>196689</v>
      </c>
      <c r="J227" s="81">
        <v>18517.29</v>
      </c>
      <c r="K227" s="81">
        <v>11988</v>
      </c>
      <c r="L227" s="82">
        <f t="shared" si="24"/>
        <v>2160009.16</v>
      </c>
      <c r="M227" s="2">
        <f>Balances_form!$E$5</f>
        <v>0</v>
      </c>
      <c r="N227" s="82">
        <v>-287128.27000000031</v>
      </c>
      <c r="O227" s="9">
        <f t="shared" si="25"/>
        <v>-287128.27000000031</v>
      </c>
      <c r="P227" s="10" t="e">
        <f t="shared" si="26"/>
        <v>#DIV/0!</v>
      </c>
      <c r="Q227" s="11" t="e">
        <f t="shared" si="27"/>
        <v>#DIV/0!</v>
      </c>
      <c r="U227" s="9"/>
    </row>
    <row r="228" spans="1:21">
      <c r="A228" s="83">
        <v>3364</v>
      </c>
      <c r="B228" s="60" t="s">
        <v>436</v>
      </c>
      <c r="C228" s="78">
        <f t="shared" si="23"/>
        <v>160324.99799999999</v>
      </c>
      <c r="D228" s="79">
        <v>1</v>
      </c>
      <c r="E228" s="80">
        <f t="shared" si="22"/>
        <v>0.12</v>
      </c>
      <c r="F228" s="81">
        <v>1122045.74</v>
      </c>
      <c r="G228" s="81">
        <v>0</v>
      </c>
      <c r="H228" s="81">
        <v>96350.77</v>
      </c>
      <c r="I228" s="81">
        <v>57485</v>
      </c>
      <c r="J228" s="81">
        <v>53222.64</v>
      </c>
      <c r="K228" s="81">
        <v>6937.5</v>
      </c>
      <c r="L228" s="82">
        <f t="shared" si="24"/>
        <v>1336041.6499999999</v>
      </c>
      <c r="M228" s="2">
        <f>Balances_form!$E$5</f>
        <v>0</v>
      </c>
      <c r="N228" s="82">
        <v>-42205.929999999789</v>
      </c>
      <c r="O228" s="9">
        <f t="shared" si="25"/>
        <v>-42205.929999999789</v>
      </c>
      <c r="P228" s="10" t="e">
        <f t="shared" si="26"/>
        <v>#DIV/0!</v>
      </c>
      <c r="Q228" s="11" t="e">
        <f t="shared" si="27"/>
        <v>#DIV/0!</v>
      </c>
      <c r="U228" s="9"/>
    </row>
    <row r="229" spans="1:21">
      <c r="A229" s="83">
        <v>3373</v>
      </c>
      <c r="B229" s="60" t="s">
        <v>437</v>
      </c>
      <c r="C229" s="78">
        <f t="shared" si="23"/>
        <v>243909.58199999994</v>
      </c>
      <c r="D229" s="79">
        <v>1</v>
      </c>
      <c r="E229" s="80">
        <f t="shared" si="22"/>
        <v>0.12</v>
      </c>
      <c r="F229" s="81">
        <v>1739435.95</v>
      </c>
      <c r="G229" s="81">
        <v>0</v>
      </c>
      <c r="H229" s="81">
        <v>97896.12</v>
      </c>
      <c r="I229" s="81">
        <v>140495</v>
      </c>
      <c r="J229" s="81">
        <v>49712.88</v>
      </c>
      <c r="K229" s="81">
        <v>5039.8999999999996</v>
      </c>
      <c r="L229" s="82">
        <f t="shared" si="24"/>
        <v>2032579.8499999996</v>
      </c>
      <c r="M229" s="2">
        <f>Balances_form!$E$5</f>
        <v>0</v>
      </c>
      <c r="N229" s="82">
        <v>-184199.59999999986</v>
      </c>
      <c r="O229" s="9">
        <f t="shared" si="25"/>
        <v>-184199.59999999986</v>
      </c>
      <c r="P229" s="10" t="e">
        <f t="shared" si="26"/>
        <v>#DIV/0!</v>
      </c>
      <c r="Q229" s="11" t="e">
        <f t="shared" si="27"/>
        <v>#DIV/0!</v>
      </c>
      <c r="U229" s="9"/>
    </row>
    <row r="230" spans="1:21">
      <c r="A230" s="83">
        <v>3722</v>
      </c>
      <c r="B230" s="60" t="s">
        <v>438</v>
      </c>
      <c r="C230" s="78">
        <f t="shared" si="23"/>
        <v>179253.56160000002</v>
      </c>
      <c r="D230" s="79">
        <v>1</v>
      </c>
      <c r="E230" s="80">
        <f t="shared" si="22"/>
        <v>0.12</v>
      </c>
      <c r="F230" s="81">
        <v>1225012.33</v>
      </c>
      <c r="G230" s="81">
        <v>0</v>
      </c>
      <c r="H230" s="81">
        <v>85988.57</v>
      </c>
      <c r="I230" s="81">
        <v>130300</v>
      </c>
      <c r="J230" s="81">
        <v>46116.53</v>
      </c>
      <c r="K230" s="81">
        <v>6362.25</v>
      </c>
      <c r="L230" s="82">
        <f t="shared" si="24"/>
        <v>1493779.6800000002</v>
      </c>
      <c r="M230" s="2">
        <f>Balances_form!$E$5</f>
        <v>0</v>
      </c>
      <c r="N230" s="82">
        <v>-162899.61999999976</v>
      </c>
      <c r="O230" s="9">
        <f t="shared" si="25"/>
        <v>-162899.61999999976</v>
      </c>
      <c r="P230" s="10" t="e">
        <f t="shared" si="26"/>
        <v>#DIV/0!</v>
      </c>
      <c r="Q230" s="11" t="e">
        <f t="shared" si="27"/>
        <v>#DIV/0!</v>
      </c>
      <c r="U230" s="9"/>
    </row>
    <row r="231" spans="1:21">
      <c r="A231" s="83">
        <v>3728</v>
      </c>
      <c r="B231" s="60" t="s">
        <v>439</v>
      </c>
      <c r="C231" s="78">
        <f t="shared" si="23"/>
        <v>158994.74400000004</v>
      </c>
      <c r="D231" s="79">
        <v>1</v>
      </c>
      <c r="E231" s="80">
        <f t="shared" si="22"/>
        <v>0.12</v>
      </c>
      <c r="F231" s="81">
        <v>1188732.9700000002</v>
      </c>
      <c r="G231" s="81">
        <v>0</v>
      </c>
      <c r="H231" s="81">
        <v>28479.82</v>
      </c>
      <c r="I231" s="81">
        <v>40505</v>
      </c>
      <c r="J231" s="81">
        <v>62423.06</v>
      </c>
      <c r="K231" s="81">
        <v>4815.3500000000004</v>
      </c>
      <c r="L231" s="82">
        <f t="shared" si="24"/>
        <v>1324956.2000000004</v>
      </c>
      <c r="M231" s="2">
        <f>Balances_form!$E$5</f>
        <v>0</v>
      </c>
      <c r="N231" s="82">
        <v>-80621.570000000676</v>
      </c>
      <c r="O231" s="9">
        <f t="shared" si="25"/>
        <v>-80621.570000000676</v>
      </c>
      <c r="P231" s="10" t="e">
        <f t="shared" si="26"/>
        <v>#DIV/0!</v>
      </c>
      <c r="Q231" s="11" t="e">
        <f t="shared" si="27"/>
        <v>#DIV/0!</v>
      </c>
      <c r="U231" s="9"/>
    </row>
    <row r="232" spans="1:21">
      <c r="A232" s="83">
        <v>3733</v>
      </c>
      <c r="B232" s="60" t="s">
        <v>440</v>
      </c>
      <c r="C232" s="78">
        <f t="shared" si="23"/>
        <v>159964.79399999999</v>
      </c>
      <c r="D232" s="79">
        <v>1</v>
      </c>
      <c r="E232" s="80">
        <f t="shared" si="22"/>
        <v>0.12</v>
      </c>
      <c r="F232" s="81">
        <v>1162947.6000000001</v>
      </c>
      <c r="G232" s="81">
        <v>0</v>
      </c>
      <c r="H232" s="81">
        <v>82417.449999999983</v>
      </c>
      <c r="I232" s="81">
        <v>21210</v>
      </c>
      <c r="J232" s="81">
        <v>61425</v>
      </c>
      <c r="K232" s="81">
        <v>5039.8999999999996</v>
      </c>
      <c r="L232" s="82">
        <f t="shared" si="24"/>
        <v>1333039.95</v>
      </c>
      <c r="M232" s="2">
        <f>Balances_form!$E$5</f>
        <v>0</v>
      </c>
      <c r="N232" s="82">
        <v>-38383.620000000068</v>
      </c>
      <c r="O232" s="9">
        <f t="shared" si="25"/>
        <v>-38383.620000000068</v>
      </c>
      <c r="P232" s="10" t="e">
        <f t="shared" si="26"/>
        <v>#DIV/0!</v>
      </c>
      <c r="Q232" s="11" t="e">
        <f t="shared" si="27"/>
        <v>#DIV/0!</v>
      </c>
      <c r="U232" s="9"/>
    </row>
    <row r="233" spans="1:21">
      <c r="A233" s="83">
        <v>3749</v>
      </c>
      <c r="B233" s="60" t="s">
        <v>441</v>
      </c>
      <c r="C233" s="78">
        <f t="shared" si="23"/>
        <v>158848.8744</v>
      </c>
      <c r="D233" s="79">
        <v>1</v>
      </c>
      <c r="E233" s="80">
        <f t="shared" si="22"/>
        <v>0.12</v>
      </c>
      <c r="F233" s="81">
        <v>1173712.82</v>
      </c>
      <c r="G233" s="81">
        <v>0</v>
      </c>
      <c r="H233" s="81">
        <v>27915.3</v>
      </c>
      <c r="I233" s="81">
        <v>60200</v>
      </c>
      <c r="J233" s="81">
        <v>55197</v>
      </c>
      <c r="K233" s="81">
        <v>6715.5</v>
      </c>
      <c r="L233" s="82">
        <f t="shared" si="24"/>
        <v>1323740.6200000001</v>
      </c>
      <c r="M233" s="2">
        <f>Balances_form!$E$5</f>
        <v>0</v>
      </c>
      <c r="N233" s="82">
        <v>-85285.0100000003</v>
      </c>
      <c r="O233" s="9">
        <f t="shared" si="25"/>
        <v>-85285.0100000003</v>
      </c>
      <c r="P233" s="10" t="e">
        <f t="shared" si="26"/>
        <v>#DIV/0!</v>
      </c>
      <c r="Q233" s="11" t="e">
        <f t="shared" si="27"/>
        <v>#DIV/0!</v>
      </c>
      <c r="U233" s="9"/>
    </row>
    <row r="234" spans="1:21">
      <c r="A234" s="83">
        <v>3893</v>
      </c>
      <c r="B234" s="60" t="s">
        <v>442</v>
      </c>
      <c r="C234" s="78">
        <f t="shared" si="23"/>
        <v>209226.64199999996</v>
      </c>
      <c r="D234" s="79">
        <v>1</v>
      </c>
      <c r="E234" s="80">
        <f t="shared" si="22"/>
        <v>0.12</v>
      </c>
      <c r="F234" s="81">
        <v>1318399.33</v>
      </c>
      <c r="G234" s="81">
        <v>0</v>
      </c>
      <c r="H234" s="81">
        <v>166385.38</v>
      </c>
      <c r="I234" s="81">
        <v>162440</v>
      </c>
      <c r="J234" s="81">
        <v>43082.64</v>
      </c>
      <c r="K234" s="81">
        <v>53248</v>
      </c>
      <c r="L234" s="82">
        <f t="shared" si="24"/>
        <v>1743555.3499999999</v>
      </c>
      <c r="M234" s="2">
        <f>Balances_form!$E$5</f>
        <v>0</v>
      </c>
      <c r="N234" s="82">
        <v>-119935.50000000006</v>
      </c>
      <c r="O234" s="9">
        <f t="shared" si="25"/>
        <v>-119935.50000000006</v>
      </c>
      <c r="P234" s="10" t="e">
        <f t="shared" si="26"/>
        <v>#DIV/0!</v>
      </c>
      <c r="Q234" s="11" t="e">
        <f t="shared" si="27"/>
        <v>#DIV/0!</v>
      </c>
      <c r="U234" s="9"/>
    </row>
    <row r="235" spans="1:21">
      <c r="A235" s="83">
        <v>3896</v>
      </c>
      <c r="B235" s="60" t="s">
        <v>443</v>
      </c>
      <c r="C235" s="78">
        <f t="shared" si="23"/>
        <v>142801.30079999997</v>
      </c>
      <c r="D235" s="79">
        <v>1</v>
      </c>
      <c r="E235" s="80">
        <f t="shared" si="22"/>
        <v>0.12</v>
      </c>
      <c r="F235" s="81">
        <v>994704.19</v>
      </c>
      <c r="G235" s="81">
        <v>0</v>
      </c>
      <c r="H235" s="81">
        <v>35340.899999999994</v>
      </c>
      <c r="I235" s="81">
        <v>116255</v>
      </c>
      <c r="J235" s="81">
        <v>24624</v>
      </c>
      <c r="K235" s="81">
        <v>19086.75</v>
      </c>
      <c r="L235" s="82">
        <f t="shared" si="24"/>
        <v>1190010.8399999999</v>
      </c>
      <c r="M235" s="2">
        <f>Balances_form!$E$5</f>
        <v>0</v>
      </c>
      <c r="N235" s="82">
        <v>-67349.420000000013</v>
      </c>
      <c r="O235" s="9">
        <f t="shared" si="25"/>
        <v>-67349.420000000013</v>
      </c>
      <c r="P235" s="10" t="e">
        <f t="shared" si="26"/>
        <v>#DIV/0!</v>
      </c>
      <c r="Q235" s="11" t="e">
        <f t="shared" si="27"/>
        <v>#DIV/0!</v>
      </c>
      <c r="U235" s="9"/>
    </row>
    <row r="236" spans="1:21">
      <c r="A236" s="83">
        <v>3898</v>
      </c>
      <c r="B236" s="60" t="s">
        <v>444</v>
      </c>
      <c r="C236" s="78">
        <f t="shared" si="23"/>
        <v>331935.02039999992</v>
      </c>
      <c r="D236" s="79">
        <v>1</v>
      </c>
      <c r="E236" s="80">
        <f t="shared" si="22"/>
        <v>0.12</v>
      </c>
      <c r="F236" s="81">
        <v>2437878.6699999995</v>
      </c>
      <c r="G236" s="81">
        <v>0</v>
      </c>
      <c r="H236" s="81">
        <v>14318.5</v>
      </c>
      <c r="I236" s="81">
        <v>213335</v>
      </c>
      <c r="J236" s="81">
        <v>52863</v>
      </c>
      <c r="K236" s="81">
        <v>47730</v>
      </c>
      <c r="L236" s="82">
        <f t="shared" si="24"/>
        <v>2766125.1699999995</v>
      </c>
      <c r="M236" s="2">
        <f>Balances_form!$E$5</f>
        <v>0</v>
      </c>
      <c r="N236" s="82">
        <v>-279346.37999999931</v>
      </c>
      <c r="O236" s="9">
        <f t="shared" si="25"/>
        <v>-279346.37999999931</v>
      </c>
      <c r="P236" s="10" t="e">
        <f t="shared" si="26"/>
        <v>#DIV/0!</v>
      </c>
      <c r="Q236" s="11" t="e">
        <f t="shared" si="27"/>
        <v>#DIV/0!</v>
      </c>
      <c r="U236" s="9"/>
    </row>
    <row r="237" spans="1:21">
      <c r="A237" s="83">
        <v>3902</v>
      </c>
      <c r="B237" s="60" t="s">
        <v>445</v>
      </c>
      <c r="C237" s="78">
        <f t="shared" si="23"/>
        <v>256425.97319999998</v>
      </c>
      <c r="D237" s="79">
        <v>1</v>
      </c>
      <c r="E237" s="80">
        <f t="shared" si="22"/>
        <v>0.12</v>
      </c>
      <c r="F237" s="81">
        <v>1690594.0899999999</v>
      </c>
      <c r="G237" s="81">
        <v>0</v>
      </c>
      <c r="H237" s="81">
        <v>163301.02000000002</v>
      </c>
      <c r="I237" s="81">
        <v>170825</v>
      </c>
      <c r="J237" s="81">
        <v>46118</v>
      </c>
      <c r="K237" s="81">
        <v>66045</v>
      </c>
      <c r="L237" s="82">
        <f t="shared" si="24"/>
        <v>2136883.11</v>
      </c>
      <c r="M237" s="2">
        <f>Balances_form!$E$5</f>
        <v>0</v>
      </c>
      <c r="N237" s="82">
        <v>-274779.14999999985</v>
      </c>
      <c r="O237" s="9">
        <f t="shared" si="25"/>
        <v>-274779.14999999985</v>
      </c>
      <c r="P237" s="10" t="e">
        <f t="shared" si="26"/>
        <v>#DIV/0!</v>
      </c>
      <c r="Q237" s="11" t="e">
        <f t="shared" si="27"/>
        <v>#DIV/0!</v>
      </c>
      <c r="U237" s="9"/>
    </row>
    <row r="238" spans="1:21">
      <c r="A238" s="83">
        <v>3904</v>
      </c>
      <c r="B238" s="60" t="s">
        <v>446</v>
      </c>
      <c r="C238" s="78">
        <f t="shared" si="23"/>
        <v>393195.61800000002</v>
      </c>
      <c r="D238" s="79">
        <v>1</v>
      </c>
      <c r="E238" s="80">
        <f t="shared" si="22"/>
        <v>0.12</v>
      </c>
      <c r="F238" s="81">
        <v>2522476.5900000003</v>
      </c>
      <c r="G238" s="81">
        <v>0</v>
      </c>
      <c r="H238" s="81">
        <v>312632.63000000006</v>
      </c>
      <c r="I238" s="81">
        <v>338295</v>
      </c>
      <c r="J238" s="81">
        <v>35515.93</v>
      </c>
      <c r="K238" s="81">
        <v>67710</v>
      </c>
      <c r="L238" s="82">
        <f t="shared" si="24"/>
        <v>3276630.1500000004</v>
      </c>
      <c r="M238" s="2">
        <f>Balances_form!$E$5</f>
        <v>0</v>
      </c>
      <c r="N238" s="82">
        <v>-110359.44999999931</v>
      </c>
      <c r="O238" s="9">
        <f t="shared" si="25"/>
        <v>-110359.44999999931</v>
      </c>
      <c r="P238" s="10" t="e">
        <f t="shared" si="26"/>
        <v>#DIV/0!</v>
      </c>
      <c r="Q238" s="11" t="e">
        <f t="shared" si="27"/>
        <v>#DIV/0!</v>
      </c>
      <c r="U238" s="9"/>
    </row>
    <row r="239" spans="1:21">
      <c r="A239" s="83">
        <v>3906</v>
      </c>
      <c r="B239" s="60" t="s">
        <v>447</v>
      </c>
      <c r="C239" s="78">
        <f t="shared" si="23"/>
        <v>300008.6532</v>
      </c>
      <c r="D239" s="79">
        <v>1</v>
      </c>
      <c r="E239" s="80">
        <f t="shared" si="22"/>
        <v>0.12</v>
      </c>
      <c r="F239" s="81">
        <v>2132928.91</v>
      </c>
      <c r="G239" s="81">
        <v>0</v>
      </c>
      <c r="H239" s="81">
        <v>132683.20000000001</v>
      </c>
      <c r="I239" s="81">
        <v>117770</v>
      </c>
      <c r="J239" s="81">
        <v>82386</v>
      </c>
      <c r="K239" s="81">
        <v>34304</v>
      </c>
      <c r="L239" s="82">
        <f t="shared" si="24"/>
        <v>2500072.1100000003</v>
      </c>
      <c r="M239" s="2">
        <f>Balances_form!$E$5</f>
        <v>0</v>
      </c>
      <c r="N239" s="82">
        <v>-7440</v>
      </c>
      <c r="O239" s="9">
        <f t="shared" si="25"/>
        <v>-7440</v>
      </c>
      <c r="P239" s="10" t="e">
        <f t="shared" si="26"/>
        <v>#DIV/0!</v>
      </c>
      <c r="Q239" s="11" t="str">
        <f t="shared" si="27"/>
        <v>Within Tolerance</v>
      </c>
      <c r="U239" s="9"/>
    </row>
    <row r="240" spans="1:21">
      <c r="A240" s="83">
        <v>3907</v>
      </c>
      <c r="B240" s="60" t="s">
        <v>448</v>
      </c>
      <c r="C240" s="78">
        <f t="shared" si="23"/>
        <v>436207.34759999998</v>
      </c>
      <c r="D240" s="79">
        <v>1</v>
      </c>
      <c r="E240" s="80">
        <f t="shared" si="22"/>
        <v>0.12</v>
      </c>
      <c r="F240" s="81">
        <v>3137312.16</v>
      </c>
      <c r="G240" s="81">
        <v>0</v>
      </c>
      <c r="H240" s="81">
        <v>109566.13</v>
      </c>
      <c r="I240" s="81">
        <v>190125</v>
      </c>
      <c r="J240" s="81">
        <v>133677.94</v>
      </c>
      <c r="K240" s="81">
        <v>64380</v>
      </c>
      <c r="L240" s="82">
        <f t="shared" si="24"/>
        <v>3635061.23</v>
      </c>
      <c r="M240" s="2">
        <f>Balances_form!$E$5</f>
        <v>0</v>
      </c>
      <c r="N240" s="82">
        <v>-380533.04999999981</v>
      </c>
      <c r="O240" s="9">
        <f t="shared" si="25"/>
        <v>-380533.04999999981</v>
      </c>
      <c r="P240" s="10" t="e">
        <f t="shared" si="26"/>
        <v>#DIV/0!</v>
      </c>
      <c r="Q240" s="11" t="e">
        <f t="shared" si="27"/>
        <v>#DIV/0!</v>
      </c>
      <c r="U240" s="9"/>
    </row>
    <row r="241" spans="1:21">
      <c r="A241" s="83">
        <v>3909</v>
      </c>
      <c r="B241" s="60" t="s">
        <v>449</v>
      </c>
      <c r="C241" s="78">
        <f t="shared" si="23"/>
        <v>435210.38160000002</v>
      </c>
      <c r="D241" s="79">
        <v>1</v>
      </c>
      <c r="E241" s="80">
        <f t="shared" si="22"/>
        <v>0.12</v>
      </c>
      <c r="F241" s="81">
        <v>2768331.31</v>
      </c>
      <c r="G241" s="81">
        <v>0</v>
      </c>
      <c r="H241" s="81">
        <v>365253.12000000005</v>
      </c>
      <c r="I241" s="81">
        <v>343675</v>
      </c>
      <c r="J241" s="81">
        <v>66798.75</v>
      </c>
      <c r="K241" s="81">
        <v>82695</v>
      </c>
      <c r="L241" s="82">
        <f t="shared" si="24"/>
        <v>3626753.18</v>
      </c>
      <c r="M241" s="2">
        <f>Balances_form!$E$5</f>
        <v>0</v>
      </c>
      <c r="N241" s="82">
        <v>-81223.440000000061</v>
      </c>
      <c r="O241" s="9">
        <f t="shared" si="25"/>
        <v>-81223.440000000061</v>
      </c>
      <c r="P241" s="10" t="e">
        <f t="shared" si="26"/>
        <v>#DIV/0!</v>
      </c>
      <c r="Q241" s="11" t="e">
        <f t="shared" si="27"/>
        <v>#DIV/0!</v>
      </c>
      <c r="U241" s="9"/>
    </row>
    <row r="242" spans="1:21">
      <c r="A242" s="83">
        <v>3910</v>
      </c>
      <c r="B242" s="60" t="s">
        <v>450</v>
      </c>
      <c r="C242" s="78">
        <f t="shared" si="23"/>
        <v>496833.03120000003</v>
      </c>
      <c r="D242" s="79">
        <v>1</v>
      </c>
      <c r="E242" s="80">
        <f t="shared" si="22"/>
        <v>0.12</v>
      </c>
      <c r="F242" s="81">
        <v>3345340.35</v>
      </c>
      <c r="G242" s="81">
        <v>0</v>
      </c>
      <c r="H242" s="81">
        <v>423484.91000000003</v>
      </c>
      <c r="I242" s="81">
        <v>225255</v>
      </c>
      <c r="J242" s="81">
        <v>131654</v>
      </c>
      <c r="K242" s="81">
        <v>14541</v>
      </c>
      <c r="L242" s="82">
        <f t="shared" si="24"/>
        <v>4140275.2600000002</v>
      </c>
      <c r="M242" s="2">
        <f>Balances_form!$E$5</f>
        <v>0</v>
      </c>
      <c r="N242" s="82">
        <v>-80250.009999999587</v>
      </c>
      <c r="O242" s="9">
        <f t="shared" si="25"/>
        <v>-80250.009999999587</v>
      </c>
      <c r="P242" s="10" t="e">
        <f t="shared" si="26"/>
        <v>#DIV/0!</v>
      </c>
      <c r="Q242" s="11" t="e">
        <f t="shared" si="27"/>
        <v>#DIV/0!</v>
      </c>
      <c r="U242" s="9"/>
    </row>
    <row r="243" spans="1:21">
      <c r="A243" s="83">
        <v>3916</v>
      </c>
      <c r="B243" s="60" t="s">
        <v>451</v>
      </c>
      <c r="C243" s="78">
        <f t="shared" ref="C243:C297" si="28">IF(D243=1,L243*0.12,IF(D243=3,L243*0.085,L243*0.075))</f>
        <v>331435.33559999999</v>
      </c>
      <c r="D243" s="79">
        <v>1</v>
      </c>
      <c r="E243" s="80">
        <f t="shared" ref="E243:E297" si="29">IF(D243=1,0.12,IF(D243=4,0.085,0.075))</f>
        <v>0.12</v>
      </c>
      <c r="F243" s="81">
        <v>2293491.6</v>
      </c>
      <c r="G243" s="81">
        <v>0</v>
      </c>
      <c r="H243" s="81">
        <v>45307.03</v>
      </c>
      <c r="I243" s="81">
        <v>323505</v>
      </c>
      <c r="J243" s="81">
        <v>47765</v>
      </c>
      <c r="K243" s="81">
        <v>51892.5</v>
      </c>
      <c r="L243" s="82">
        <f t="shared" si="24"/>
        <v>2761961.13</v>
      </c>
      <c r="M243" s="2">
        <f>Balances_form!$E$5</f>
        <v>0</v>
      </c>
      <c r="N243" s="82">
        <v>-155273.36999999965</v>
      </c>
      <c r="O243" s="9">
        <f t="shared" si="25"/>
        <v>-155273.36999999965</v>
      </c>
      <c r="P243" s="10" t="e">
        <f t="shared" si="26"/>
        <v>#DIV/0!</v>
      </c>
      <c r="Q243" s="11" t="e">
        <f t="shared" si="27"/>
        <v>#DIV/0!</v>
      </c>
      <c r="U243" s="9"/>
    </row>
    <row r="244" spans="1:21">
      <c r="A244" s="83">
        <v>3917</v>
      </c>
      <c r="B244" s="60" t="s">
        <v>452</v>
      </c>
      <c r="C244" s="78">
        <f t="shared" si="28"/>
        <v>683542.44240000006</v>
      </c>
      <c r="D244" s="79">
        <v>1</v>
      </c>
      <c r="E244" s="80">
        <f t="shared" si="29"/>
        <v>0.12</v>
      </c>
      <c r="F244" s="81">
        <v>4374831.22</v>
      </c>
      <c r="G244" s="81">
        <v>0</v>
      </c>
      <c r="H244" s="81">
        <v>614860.94000000006</v>
      </c>
      <c r="I244" s="81">
        <v>504650</v>
      </c>
      <c r="J244" s="81">
        <v>91954.86</v>
      </c>
      <c r="K244" s="81">
        <v>109890</v>
      </c>
      <c r="L244" s="82">
        <f t="shared" si="24"/>
        <v>5696187.0200000005</v>
      </c>
      <c r="M244" s="2">
        <f>Balances_form!$E$5</f>
        <v>0</v>
      </c>
      <c r="N244" s="82">
        <v>-308630.06000000093</v>
      </c>
      <c r="O244" s="9">
        <f t="shared" si="25"/>
        <v>-308630.06000000093</v>
      </c>
      <c r="P244" s="10" t="e">
        <f t="shared" si="26"/>
        <v>#DIV/0!</v>
      </c>
      <c r="Q244" s="11" t="e">
        <f t="shared" si="27"/>
        <v>#DIV/0!</v>
      </c>
      <c r="U244" s="9"/>
    </row>
    <row r="245" spans="1:21">
      <c r="A245" s="83">
        <v>3920</v>
      </c>
      <c r="B245" s="60" t="s">
        <v>453</v>
      </c>
      <c r="C245" s="78">
        <f t="shared" si="28"/>
        <v>178371.07319999998</v>
      </c>
      <c r="D245" s="79">
        <v>1</v>
      </c>
      <c r="E245" s="80">
        <f t="shared" si="29"/>
        <v>0.12</v>
      </c>
      <c r="F245" s="81">
        <v>1227171.21</v>
      </c>
      <c r="G245" s="81">
        <v>0</v>
      </c>
      <c r="H245" s="81">
        <v>75182.399999999994</v>
      </c>
      <c r="I245" s="81">
        <v>132605</v>
      </c>
      <c r="J245" s="81">
        <v>42661</v>
      </c>
      <c r="K245" s="81">
        <v>8806</v>
      </c>
      <c r="L245" s="82">
        <f t="shared" si="24"/>
        <v>1486425.6099999999</v>
      </c>
      <c r="M245" s="2">
        <f>Balances_form!$E$5</f>
        <v>0</v>
      </c>
      <c r="N245" s="82">
        <v>-97612.960000000137</v>
      </c>
      <c r="O245" s="9">
        <f t="shared" si="25"/>
        <v>-97612.960000000137</v>
      </c>
      <c r="P245" s="10" t="e">
        <f t="shared" si="26"/>
        <v>#DIV/0!</v>
      </c>
      <c r="Q245" s="11" t="e">
        <f t="shared" si="27"/>
        <v>#DIV/0!</v>
      </c>
      <c r="U245" s="9"/>
    </row>
    <row r="246" spans="1:21">
      <c r="A246" s="83">
        <v>4026</v>
      </c>
      <c r="B246" s="60" t="s">
        <v>454</v>
      </c>
      <c r="C246" s="78">
        <f t="shared" si="28"/>
        <v>504733.33874999994</v>
      </c>
      <c r="D246" s="79">
        <v>2</v>
      </c>
      <c r="E246" s="80">
        <f t="shared" si="29"/>
        <v>7.4999999999999997E-2</v>
      </c>
      <c r="F246" s="81">
        <v>5293360.59</v>
      </c>
      <c r="G246" s="81">
        <v>819887.67999999993</v>
      </c>
      <c r="H246" s="81">
        <v>170364.55</v>
      </c>
      <c r="I246" s="81">
        <v>180270</v>
      </c>
      <c r="J246" s="81">
        <v>882.53</v>
      </c>
      <c r="K246" s="81">
        <v>265012.5</v>
      </c>
      <c r="L246" s="82">
        <f t="shared" si="24"/>
        <v>6729777.8499999996</v>
      </c>
      <c r="M246" s="2">
        <f>Balances_form!$E$5</f>
        <v>0</v>
      </c>
      <c r="N246" s="82">
        <v>-203235.92000000307</v>
      </c>
      <c r="O246" s="9">
        <f t="shared" si="25"/>
        <v>-203235.92000000307</v>
      </c>
      <c r="P246" s="10" t="e">
        <f t="shared" si="26"/>
        <v>#DIV/0!</v>
      </c>
      <c r="Q246" s="11" t="e">
        <f t="shared" si="27"/>
        <v>#DIV/0!</v>
      </c>
      <c r="U246" s="9"/>
    </row>
    <row r="247" spans="1:21">
      <c r="A247" s="83">
        <v>4040</v>
      </c>
      <c r="B247" s="60" t="s">
        <v>455</v>
      </c>
      <c r="C247" s="78">
        <f t="shared" si="28"/>
        <v>744245.09550000005</v>
      </c>
      <c r="D247" s="79">
        <v>2</v>
      </c>
      <c r="E247" s="80">
        <f t="shared" si="29"/>
        <v>7.4999999999999997E-2</v>
      </c>
      <c r="F247" s="81">
        <v>7793236.5300000003</v>
      </c>
      <c r="G247" s="81">
        <v>1538417.28</v>
      </c>
      <c r="H247" s="81">
        <v>102585.91</v>
      </c>
      <c r="I247" s="81">
        <v>437926</v>
      </c>
      <c r="J247" s="81">
        <v>15027.22</v>
      </c>
      <c r="K247" s="81">
        <v>36075</v>
      </c>
      <c r="L247" s="82">
        <f t="shared" si="24"/>
        <v>9923267.9400000013</v>
      </c>
      <c r="M247" s="2">
        <f>Balances_form!$E$5</f>
        <v>0</v>
      </c>
      <c r="N247" s="82">
        <v>-401137.29000000295</v>
      </c>
      <c r="O247" s="9">
        <f t="shared" si="25"/>
        <v>-401137.29000000295</v>
      </c>
      <c r="P247" s="10" t="e">
        <f t="shared" si="26"/>
        <v>#DIV/0!</v>
      </c>
      <c r="Q247" s="11" t="e">
        <f t="shared" si="27"/>
        <v>#DIV/0!</v>
      </c>
      <c r="U247" s="9"/>
    </row>
    <row r="248" spans="1:21">
      <c r="A248" s="83">
        <v>4043</v>
      </c>
      <c r="B248" s="60" t="s">
        <v>456</v>
      </c>
      <c r="C248" s="78">
        <f t="shared" si="28"/>
        <v>534111.57074999996</v>
      </c>
      <c r="D248" s="79">
        <v>2</v>
      </c>
      <c r="E248" s="80">
        <f t="shared" si="29"/>
        <v>7.4999999999999997E-2</v>
      </c>
      <c r="F248" s="81">
        <v>5220624.37</v>
      </c>
      <c r="G248" s="81">
        <v>1748097.72</v>
      </c>
      <c r="H248" s="81">
        <v>55810.369999999995</v>
      </c>
      <c r="I248" s="81">
        <v>29000</v>
      </c>
      <c r="J248" s="81">
        <v>4685.1499999999996</v>
      </c>
      <c r="K248" s="81">
        <v>63270</v>
      </c>
      <c r="L248" s="82">
        <f t="shared" si="24"/>
        <v>7121487.6100000003</v>
      </c>
      <c r="M248" s="2">
        <f>Balances_form!$E$5</f>
        <v>0</v>
      </c>
      <c r="N248" s="82">
        <v>-210298.02999999933</v>
      </c>
      <c r="O248" s="9">
        <f t="shared" si="25"/>
        <v>-210298.02999999933</v>
      </c>
      <c r="P248" s="10" t="e">
        <f t="shared" si="26"/>
        <v>#DIV/0!</v>
      </c>
      <c r="Q248" s="11" t="e">
        <f t="shared" si="27"/>
        <v>#DIV/0!</v>
      </c>
      <c r="U248" s="9"/>
    </row>
    <row r="249" spans="1:21">
      <c r="A249" s="83">
        <v>4045</v>
      </c>
      <c r="B249" s="60" t="s">
        <v>457</v>
      </c>
      <c r="C249" s="78">
        <f t="shared" si="28"/>
        <v>950984.84474999993</v>
      </c>
      <c r="D249" s="79">
        <v>2</v>
      </c>
      <c r="E249" s="80">
        <f t="shared" si="29"/>
        <v>7.4999999999999997E-2</v>
      </c>
      <c r="F249" s="81">
        <v>9985464.5899999999</v>
      </c>
      <c r="G249" s="81">
        <v>2016918.55</v>
      </c>
      <c r="H249" s="81">
        <v>4789.5</v>
      </c>
      <c r="I249" s="81">
        <v>97710</v>
      </c>
      <c r="J249" s="81">
        <v>9370.2900000000009</v>
      </c>
      <c r="K249" s="81">
        <v>565545</v>
      </c>
      <c r="L249" s="82">
        <f t="shared" si="24"/>
        <v>12679797.93</v>
      </c>
      <c r="M249" s="2">
        <f>Balances_form!$E$5</f>
        <v>0</v>
      </c>
      <c r="N249" s="82">
        <v>-911162.68999999436</v>
      </c>
      <c r="O249" s="9">
        <f t="shared" si="25"/>
        <v>-911162.68999999436</v>
      </c>
      <c r="P249" s="10" t="e">
        <f t="shared" si="26"/>
        <v>#DIV/0!</v>
      </c>
      <c r="Q249" s="11" t="e">
        <f t="shared" si="27"/>
        <v>#DIV/0!</v>
      </c>
      <c r="U249" s="9"/>
    </row>
    <row r="250" spans="1:21">
      <c r="A250" s="83">
        <v>4109</v>
      </c>
      <c r="B250" s="60" t="s">
        <v>458</v>
      </c>
      <c r="C250" s="78">
        <f t="shared" si="28"/>
        <v>452889.92700000003</v>
      </c>
      <c r="D250" s="79">
        <v>2</v>
      </c>
      <c r="E250" s="80">
        <f t="shared" si="29"/>
        <v>7.4999999999999997E-2</v>
      </c>
      <c r="F250" s="81">
        <v>4504477.9000000004</v>
      </c>
      <c r="G250" s="81">
        <v>1243639.02</v>
      </c>
      <c r="H250" s="81">
        <v>39639.149999999994</v>
      </c>
      <c r="I250" s="81">
        <v>147350</v>
      </c>
      <c r="J250" s="81">
        <v>2971.29</v>
      </c>
      <c r="K250" s="81">
        <v>100455</v>
      </c>
      <c r="L250" s="82">
        <f t="shared" si="24"/>
        <v>6038532.3600000003</v>
      </c>
      <c r="M250" s="2">
        <f>Balances_form!$E$5</f>
        <v>0</v>
      </c>
      <c r="N250" s="82">
        <v>-108632.56000000384</v>
      </c>
      <c r="O250" s="9">
        <f t="shared" si="25"/>
        <v>-108632.56000000384</v>
      </c>
      <c r="P250" s="10" t="e">
        <f t="shared" si="26"/>
        <v>#DIV/0!</v>
      </c>
      <c r="Q250" s="11" t="e">
        <f t="shared" si="27"/>
        <v>#DIV/0!</v>
      </c>
      <c r="U250" s="9"/>
    </row>
    <row r="251" spans="1:21">
      <c r="A251" s="83">
        <v>4522</v>
      </c>
      <c r="B251" s="60" t="s">
        <v>459</v>
      </c>
      <c r="C251" s="78">
        <f t="shared" si="28"/>
        <v>694059.20924999996</v>
      </c>
      <c r="D251" s="79">
        <v>2</v>
      </c>
      <c r="E251" s="80">
        <f t="shared" si="29"/>
        <v>7.4999999999999997E-2</v>
      </c>
      <c r="F251" s="81">
        <v>6899773.0099999998</v>
      </c>
      <c r="G251" s="81">
        <v>2187480.7599999998</v>
      </c>
      <c r="H251" s="81">
        <v>12617.01</v>
      </c>
      <c r="I251" s="81">
        <v>99805</v>
      </c>
      <c r="J251" s="81">
        <v>6399.01</v>
      </c>
      <c r="K251" s="81">
        <v>48048</v>
      </c>
      <c r="L251" s="82">
        <f t="shared" si="24"/>
        <v>9254122.7899999991</v>
      </c>
      <c r="M251" s="2">
        <f>Balances_form!$E$5</f>
        <v>0</v>
      </c>
      <c r="N251" s="82">
        <v>-859778.93000000285</v>
      </c>
      <c r="O251" s="9">
        <f t="shared" si="25"/>
        <v>-859778.93000000285</v>
      </c>
      <c r="P251" s="10" t="e">
        <f t="shared" si="26"/>
        <v>#DIV/0!</v>
      </c>
      <c r="Q251" s="11" t="e">
        <f t="shared" si="27"/>
        <v>#DIV/0!</v>
      </c>
      <c r="U251" s="9"/>
    </row>
    <row r="252" spans="1:21">
      <c r="A252" s="83">
        <v>4523</v>
      </c>
      <c r="B252" s="60" t="s">
        <v>460</v>
      </c>
      <c r="C252" s="78">
        <f t="shared" si="28"/>
        <v>635210.9887499999</v>
      </c>
      <c r="D252" s="79">
        <v>2</v>
      </c>
      <c r="E252" s="80">
        <f t="shared" si="29"/>
        <v>7.4999999999999997E-2</v>
      </c>
      <c r="F252" s="81">
        <v>6185313.2000000002</v>
      </c>
      <c r="G252" s="81">
        <v>2103826.38</v>
      </c>
      <c r="H252" s="81">
        <v>6819.7999999999993</v>
      </c>
      <c r="I252" s="81">
        <v>114785</v>
      </c>
      <c r="J252" s="81">
        <v>9084.65</v>
      </c>
      <c r="K252" s="81">
        <v>49650.82</v>
      </c>
      <c r="L252" s="82">
        <f t="shared" si="24"/>
        <v>8469479.8499999996</v>
      </c>
      <c r="M252" s="2">
        <f>Balances_form!$E$5</f>
        <v>0</v>
      </c>
      <c r="N252" s="82">
        <v>-2029745.7699999977</v>
      </c>
      <c r="O252" s="9">
        <f t="shared" si="25"/>
        <v>-2029745.7699999977</v>
      </c>
      <c r="P252" s="10" t="e">
        <f t="shared" si="26"/>
        <v>#DIV/0!</v>
      </c>
      <c r="Q252" s="11" t="e">
        <f t="shared" si="27"/>
        <v>#DIV/0!</v>
      </c>
      <c r="U252" s="9"/>
    </row>
    <row r="253" spans="1:21">
      <c r="A253" s="83">
        <v>4534</v>
      </c>
      <c r="B253" s="60" t="s">
        <v>461</v>
      </c>
      <c r="C253" s="78">
        <f t="shared" si="28"/>
        <v>643005.40199999989</v>
      </c>
      <c r="D253" s="79">
        <v>2</v>
      </c>
      <c r="E253" s="80">
        <f t="shared" si="29"/>
        <v>7.4999999999999997E-2</v>
      </c>
      <c r="F253" s="81">
        <v>5774425.8300000001</v>
      </c>
      <c r="G253" s="81">
        <v>2337185.48</v>
      </c>
      <c r="H253" s="81">
        <v>88632.760000000009</v>
      </c>
      <c r="I253" s="81">
        <v>92315</v>
      </c>
      <c r="J253" s="81">
        <v>571.29</v>
      </c>
      <c r="K253" s="81">
        <v>280275</v>
      </c>
      <c r="L253" s="82">
        <f t="shared" si="24"/>
        <v>8573405.3599999994</v>
      </c>
      <c r="M253" s="2">
        <f>Balances_form!$E$5</f>
        <v>0</v>
      </c>
      <c r="N253" s="82">
        <v>-912151.06999999681</v>
      </c>
      <c r="O253" s="9">
        <f t="shared" si="25"/>
        <v>-912151.06999999681</v>
      </c>
      <c r="P253" s="10" t="e">
        <f t="shared" si="26"/>
        <v>#DIV/0!</v>
      </c>
      <c r="Q253" s="11" t="e">
        <f t="shared" si="27"/>
        <v>#DIV/0!</v>
      </c>
      <c r="U253" s="9"/>
    </row>
    <row r="254" spans="1:21">
      <c r="A254" s="83">
        <v>4622</v>
      </c>
      <c r="B254" s="60" t="s">
        <v>462</v>
      </c>
      <c r="C254" s="78">
        <f t="shared" si="28"/>
        <v>775093.93874999997</v>
      </c>
      <c r="D254" s="79">
        <v>2</v>
      </c>
      <c r="E254" s="80">
        <f t="shared" si="29"/>
        <v>7.4999999999999997E-2</v>
      </c>
      <c r="F254" s="81">
        <v>6404793.7699999996</v>
      </c>
      <c r="G254" s="81">
        <v>3624226.39</v>
      </c>
      <c r="H254" s="81">
        <v>217470.76</v>
      </c>
      <c r="I254" s="81">
        <v>30566</v>
      </c>
      <c r="J254" s="81">
        <v>3256.93</v>
      </c>
      <c r="K254" s="81">
        <v>54272</v>
      </c>
      <c r="L254" s="82">
        <f t="shared" si="24"/>
        <v>10334585.85</v>
      </c>
      <c r="M254" s="2">
        <f>Balances_form!$E$5</f>
        <v>0</v>
      </c>
      <c r="N254" s="82">
        <v>-268753.35999999678</v>
      </c>
      <c r="O254" s="9">
        <f t="shared" si="25"/>
        <v>-268753.35999999678</v>
      </c>
      <c r="P254" s="10" t="e">
        <f t="shared" si="26"/>
        <v>#DIV/0!</v>
      </c>
      <c r="Q254" s="11" t="e">
        <f t="shared" si="27"/>
        <v>#DIV/0!</v>
      </c>
      <c r="U254" s="9"/>
    </row>
    <row r="255" spans="1:21">
      <c r="A255" s="83">
        <v>5200</v>
      </c>
      <c r="B255" s="60" t="s">
        <v>463</v>
      </c>
      <c r="C255" s="78">
        <f t="shared" si="28"/>
        <v>306096.4032</v>
      </c>
      <c r="D255" s="79">
        <v>1</v>
      </c>
      <c r="E255" s="80">
        <f t="shared" si="29"/>
        <v>0.12</v>
      </c>
      <c r="F255" s="81">
        <v>2163079.75</v>
      </c>
      <c r="G255" s="81">
        <v>0</v>
      </c>
      <c r="H255" s="81">
        <v>105864.38999999998</v>
      </c>
      <c r="I255" s="81">
        <v>200305</v>
      </c>
      <c r="J255" s="81">
        <v>72119.22</v>
      </c>
      <c r="K255" s="81">
        <v>9435</v>
      </c>
      <c r="L255" s="82">
        <f t="shared" si="24"/>
        <v>2550803.3600000003</v>
      </c>
      <c r="M255" s="2">
        <f>Balances_form!$E$5</f>
        <v>0</v>
      </c>
      <c r="N255" s="82">
        <v>-259829.11999999947</v>
      </c>
      <c r="O255" s="9">
        <f t="shared" si="25"/>
        <v>-259829.11999999947</v>
      </c>
      <c r="P255" s="10" t="e">
        <f t="shared" si="26"/>
        <v>#DIV/0!</v>
      </c>
      <c r="Q255" s="11" t="e">
        <f t="shared" si="27"/>
        <v>#DIV/0!</v>
      </c>
      <c r="U255" s="9"/>
    </row>
    <row r="256" spans="1:21">
      <c r="A256" s="83">
        <v>5201</v>
      </c>
      <c r="B256" s="60" t="s">
        <v>464</v>
      </c>
      <c r="C256" s="78">
        <f t="shared" si="28"/>
        <v>172303.24680000002</v>
      </c>
      <c r="D256" s="79">
        <v>1</v>
      </c>
      <c r="E256" s="80">
        <f t="shared" si="29"/>
        <v>0.12</v>
      </c>
      <c r="F256" s="81">
        <v>1245141.58</v>
      </c>
      <c r="G256" s="81">
        <v>0</v>
      </c>
      <c r="H256" s="81">
        <v>45162.31</v>
      </c>
      <c r="I256" s="81">
        <v>86255</v>
      </c>
      <c r="J256" s="81">
        <v>52253</v>
      </c>
      <c r="K256" s="81">
        <v>7048.5</v>
      </c>
      <c r="L256" s="82">
        <f t="shared" ref="L256:L278" si="30">SUM(F256:K256)</f>
        <v>1435860.3900000001</v>
      </c>
      <c r="M256" s="2">
        <f>Balances_form!$E$5</f>
        <v>0</v>
      </c>
      <c r="N256" s="82">
        <v>-192419.16999999993</v>
      </c>
      <c r="O256" s="9">
        <f t="shared" si="25"/>
        <v>-192419.16999999993</v>
      </c>
      <c r="P256" s="10" t="e">
        <f t="shared" si="26"/>
        <v>#DIV/0!</v>
      </c>
      <c r="Q256" s="11" t="e">
        <f t="shared" si="27"/>
        <v>#DIV/0!</v>
      </c>
      <c r="U256" s="9"/>
    </row>
    <row r="257" spans="1:21">
      <c r="A257" s="83">
        <v>5203</v>
      </c>
      <c r="B257" s="60" t="s">
        <v>465</v>
      </c>
      <c r="C257" s="78">
        <f t="shared" si="28"/>
        <v>277134.03239999991</v>
      </c>
      <c r="D257" s="79">
        <v>1</v>
      </c>
      <c r="E257" s="80">
        <f t="shared" si="29"/>
        <v>0.12</v>
      </c>
      <c r="F257" s="81">
        <v>2146754.5299999998</v>
      </c>
      <c r="G257" s="81">
        <v>0</v>
      </c>
      <c r="H257" s="81">
        <v>103362.23999999999</v>
      </c>
      <c r="I257" s="81">
        <v>31415</v>
      </c>
      <c r="J257" s="81">
        <v>20981</v>
      </c>
      <c r="K257" s="81">
        <v>6937.5</v>
      </c>
      <c r="L257" s="82">
        <f t="shared" si="30"/>
        <v>2309450.2699999996</v>
      </c>
      <c r="M257" s="2">
        <f>Balances_form!$E$5</f>
        <v>0</v>
      </c>
      <c r="N257" s="82">
        <v>-68139.890000000159</v>
      </c>
      <c r="O257" s="9">
        <f t="shared" si="25"/>
        <v>-68139.890000000159</v>
      </c>
      <c r="P257" s="10" t="e">
        <f t="shared" si="26"/>
        <v>#DIV/0!</v>
      </c>
      <c r="Q257" s="11" t="e">
        <f t="shared" si="27"/>
        <v>#DIV/0!</v>
      </c>
      <c r="U257" s="9"/>
    </row>
    <row r="258" spans="1:21">
      <c r="A258" s="83">
        <v>5206</v>
      </c>
      <c r="B258" s="60" t="s">
        <v>466</v>
      </c>
      <c r="C258" s="78">
        <f t="shared" si="28"/>
        <v>317213.69279999996</v>
      </c>
      <c r="D258" s="79">
        <v>1</v>
      </c>
      <c r="E258" s="80">
        <f t="shared" si="29"/>
        <v>0.12</v>
      </c>
      <c r="F258" s="81">
        <v>2191433.7000000002</v>
      </c>
      <c r="G258" s="81">
        <v>0</v>
      </c>
      <c r="H258" s="81">
        <v>120199.76</v>
      </c>
      <c r="I258" s="81">
        <v>298125.05</v>
      </c>
      <c r="J258" s="81">
        <v>21478.93</v>
      </c>
      <c r="K258" s="81">
        <v>12210</v>
      </c>
      <c r="L258" s="82">
        <f t="shared" si="30"/>
        <v>2643447.44</v>
      </c>
      <c r="M258" s="2">
        <f>Balances_form!$E$5</f>
        <v>0</v>
      </c>
      <c r="N258" s="82">
        <v>-85689.170000001148</v>
      </c>
      <c r="O258" s="9">
        <f t="shared" si="25"/>
        <v>-85689.170000001148</v>
      </c>
      <c r="P258" s="10" t="e">
        <f t="shared" si="26"/>
        <v>#DIV/0!</v>
      </c>
      <c r="Q258" s="11" t="e">
        <f t="shared" si="27"/>
        <v>#DIV/0!</v>
      </c>
      <c r="U258" s="9"/>
    </row>
    <row r="259" spans="1:21">
      <c r="A259" s="83">
        <v>5207</v>
      </c>
      <c r="B259" s="60" t="s">
        <v>467</v>
      </c>
      <c r="C259" s="78">
        <f t="shared" si="28"/>
        <v>284974.2096</v>
      </c>
      <c r="D259" s="79">
        <v>1</v>
      </c>
      <c r="E259" s="80">
        <f t="shared" si="29"/>
        <v>0.12</v>
      </c>
      <c r="F259" s="81">
        <v>2128664.7599999998</v>
      </c>
      <c r="G259" s="81">
        <v>0</v>
      </c>
      <c r="H259" s="81">
        <v>58239.680000000008</v>
      </c>
      <c r="I259" s="81">
        <v>90900</v>
      </c>
      <c r="J259" s="81">
        <v>82994.64</v>
      </c>
      <c r="K259" s="81">
        <v>13986</v>
      </c>
      <c r="L259" s="82">
        <f t="shared" si="30"/>
        <v>2374785.08</v>
      </c>
      <c r="M259" s="2">
        <f>Balances_form!$E$5</f>
        <v>0</v>
      </c>
      <c r="N259" s="82">
        <v>-189129.65000000101</v>
      </c>
      <c r="O259" s="9">
        <f t="shared" si="25"/>
        <v>-189129.65000000101</v>
      </c>
      <c r="P259" s="10" t="e">
        <f t="shared" si="26"/>
        <v>#DIV/0!</v>
      </c>
      <c r="Q259" s="11" t="e">
        <f t="shared" si="27"/>
        <v>#DIV/0!</v>
      </c>
      <c r="U259" s="9"/>
    </row>
    <row r="260" spans="1:21">
      <c r="A260" s="83">
        <v>5212</v>
      </c>
      <c r="B260" s="60" t="s">
        <v>468</v>
      </c>
      <c r="C260" s="78">
        <f t="shared" si="28"/>
        <v>115216.75319999999</v>
      </c>
      <c r="D260" s="79">
        <v>1</v>
      </c>
      <c r="E260" s="80">
        <f t="shared" si="29"/>
        <v>0.12</v>
      </c>
      <c r="F260" s="81">
        <v>820391.4</v>
      </c>
      <c r="G260" s="81">
        <v>0</v>
      </c>
      <c r="H260" s="81">
        <v>31127.72</v>
      </c>
      <c r="I260" s="81">
        <v>57094</v>
      </c>
      <c r="J260" s="81">
        <v>48133.29</v>
      </c>
      <c r="K260" s="81">
        <v>3393.2</v>
      </c>
      <c r="L260" s="82">
        <f t="shared" si="30"/>
        <v>960139.61</v>
      </c>
      <c r="M260" s="2">
        <f>Balances_form!$E$5</f>
        <v>0</v>
      </c>
      <c r="N260" s="82">
        <v>-106713.31999999977</v>
      </c>
      <c r="O260" s="9">
        <f t="shared" si="25"/>
        <v>-106713.31999999977</v>
      </c>
      <c r="P260" s="10" t="e">
        <f t="shared" si="26"/>
        <v>#DIV/0!</v>
      </c>
      <c r="Q260" s="11" t="e">
        <f t="shared" si="27"/>
        <v>#DIV/0!</v>
      </c>
      <c r="U260" s="9"/>
    </row>
    <row r="261" spans="1:21">
      <c r="A261" s="83">
        <v>5213</v>
      </c>
      <c r="B261" s="60" t="s">
        <v>469</v>
      </c>
      <c r="C261" s="78">
        <f t="shared" si="28"/>
        <v>301736.32799999998</v>
      </c>
      <c r="D261" s="79">
        <v>1</v>
      </c>
      <c r="E261" s="80">
        <f t="shared" si="29"/>
        <v>0.12</v>
      </c>
      <c r="F261" s="81">
        <v>2245474.87</v>
      </c>
      <c r="G261" s="81">
        <v>0</v>
      </c>
      <c r="H261" s="81">
        <v>72111.03</v>
      </c>
      <c r="I261" s="81">
        <v>106365</v>
      </c>
      <c r="J261" s="81">
        <v>80473</v>
      </c>
      <c r="K261" s="81">
        <v>10045.5</v>
      </c>
      <c r="L261" s="82">
        <f t="shared" si="30"/>
        <v>2514469.4</v>
      </c>
      <c r="M261" s="2">
        <f>Balances_form!$E$5</f>
        <v>0</v>
      </c>
      <c r="N261" s="82">
        <v>-181278.41000000105</v>
      </c>
      <c r="O261" s="9">
        <f t="shared" si="25"/>
        <v>-181278.41000000105</v>
      </c>
      <c r="P261" s="10" t="e">
        <f t="shared" si="26"/>
        <v>#DIV/0!</v>
      </c>
      <c r="Q261" s="11" t="e">
        <f t="shared" si="27"/>
        <v>#DIV/0!</v>
      </c>
      <c r="U261" s="9"/>
    </row>
    <row r="262" spans="1:21">
      <c r="A262" s="83">
        <v>5214</v>
      </c>
      <c r="B262" s="60" t="s">
        <v>470</v>
      </c>
      <c r="C262" s="78">
        <f t="shared" si="28"/>
        <v>743.4</v>
      </c>
      <c r="D262" s="79">
        <v>1</v>
      </c>
      <c r="E262" s="80">
        <f t="shared" si="29"/>
        <v>0.12</v>
      </c>
      <c r="F262" s="81">
        <v>0</v>
      </c>
      <c r="G262" s="81">
        <v>0</v>
      </c>
      <c r="H262" s="81">
        <v>0</v>
      </c>
      <c r="I262" s="81">
        <v>0</v>
      </c>
      <c r="J262" s="81">
        <v>0</v>
      </c>
      <c r="K262" s="81">
        <v>6195</v>
      </c>
      <c r="L262" s="82">
        <f t="shared" si="30"/>
        <v>6195</v>
      </c>
      <c r="M262" s="2">
        <f>Balances_form!$E$5</f>
        <v>0</v>
      </c>
      <c r="N262" s="82">
        <v>0</v>
      </c>
      <c r="O262" s="9">
        <f t="shared" si="25"/>
        <v>0</v>
      </c>
      <c r="P262" s="10" t="e">
        <f t="shared" si="26"/>
        <v>#DIV/0!</v>
      </c>
      <c r="Q262" s="11" t="str">
        <f t="shared" si="27"/>
        <v>Within Tolerance</v>
      </c>
      <c r="U262" s="9"/>
    </row>
    <row r="263" spans="1:21">
      <c r="A263" s="83">
        <v>5218</v>
      </c>
      <c r="B263" s="60" t="s">
        <v>471</v>
      </c>
      <c r="C263" s="78">
        <f t="shared" si="28"/>
        <v>187844.45039999997</v>
      </c>
      <c r="D263" s="79">
        <v>1</v>
      </c>
      <c r="E263" s="80">
        <f t="shared" si="29"/>
        <v>0.12</v>
      </c>
      <c r="F263" s="81">
        <v>1342996.3</v>
      </c>
      <c r="G263" s="81">
        <v>0</v>
      </c>
      <c r="H263" s="81">
        <v>79128.62</v>
      </c>
      <c r="I263" s="81">
        <v>98790</v>
      </c>
      <c r="J263" s="81">
        <v>34965</v>
      </c>
      <c r="K263" s="81">
        <v>9490.5</v>
      </c>
      <c r="L263" s="82">
        <f t="shared" si="30"/>
        <v>1565370.42</v>
      </c>
      <c r="M263" s="2">
        <f>Balances_form!$E$5</f>
        <v>0</v>
      </c>
      <c r="N263" s="82">
        <v>-137643.2000000003</v>
      </c>
      <c r="O263" s="9">
        <f t="shared" si="25"/>
        <v>-137643.2000000003</v>
      </c>
      <c r="P263" s="10" t="e">
        <f t="shared" si="26"/>
        <v>#DIV/0!</v>
      </c>
      <c r="Q263" s="11" t="e">
        <f t="shared" si="27"/>
        <v>#DIV/0!</v>
      </c>
      <c r="U263" s="9"/>
    </row>
    <row r="264" spans="1:21">
      <c r="A264" s="83">
        <v>5221</v>
      </c>
      <c r="B264" s="60" t="s">
        <v>472</v>
      </c>
      <c r="C264" s="78">
        <f t="shared" si="28"/>
        <v>350657.54280000005</v>
      </c>
      <c r="D264" s="79">
        <v>1</v>
      </c>
      <c r="E264" s="80">
        <f t="shared" si="29"/>
        <v>0.12</v>
      </c>
      <c r="F264" s="81">
        <v>2381240.0300000003</v>
      </c>
      <c r="G264" s="81">
        <v>0</v>
      </c>
      <c r="H264" s="81">
        <v>224361.02</v>
      </c>
      <c r="I264" s="81">
        <v>231575</v>
      </c>
      <c r="J264" s="81">
        <v>75146.64</v>
      </c>
      <c r="K264" s="81">
        <v>9823.5</v>
      </c>
      <c r="L264" s="82">
        <f t="shared" si="30"/>
        <v>2922146.1900000004</v>
      </c>
      <c r="M264" s="2">
        <f>Balances_form!$E$5</f>
        <v>0</v>
      </c>
      <c r="N264" s="82">
        <v>-97535.250000000495</v>
      </c>
      <c r="O264" s="9">
        <f t="shared" si="25"/>
        <v>-97535.250000000495</v>
      </c>
      <c r="P264" s="10" t="e">
        <f t="shared" si="26"/>
        <v>#DIV/0!</v>
      </c>
      <c r="Q264" s="11" t="e">
        <f t="shared" si="27"/>
        <v>#DIV/0!</v>
      </c>
      <c r="U264" s="9"/>
    </row>
    <row r="265" spans="1:21">
      <c r="A265" s="83">
        <v>5223</v>
      </c>
      <c r="B265" s="60" t="s">
        <v>473</v>
      </c>
      <c r="C265" s="78">
        <f t="shared" si="28"/>
        <v>187789.58039999998</v>
      </c>
      <c r="D265" s="79">
        <v>1</v>
      </c>
      <c r="E265" s="80">
        <f t="shared" si="29"/>
        <v>0.12</v>
      </c>
      <c r="F265" s="81">
        <v>1368293.48</v>
      </c>
      <c r="G265" s="81">
        <v>0</v>
      </c>
      <c r="H265" s="81">
        <v>42002.69</v>
      </c>
      <c r="I265" s="81">
        <v>112425</v>
      </c>
      <c r="J265" s="81">
        <v>16992</v>
      </c>
      <c r="K265" s="81">
        <v>25200</v>
      </c>
      <c r="L265" s="82">
        <f t="shared" si="30"/>
        <v>1564913.17</v>
      </c>
      <c r="M265" s="2">
        <f>Balances_form!$E$5</f>
        <v>0</v>
      </c>
      <c r="N265" s="82">
        <v>-9723</v>
      </c>
      <c r="O265" s="9">
        <f t="shared" si="25"/>
        <v>-9723</v>
      </c>
      <c r="P265" s="10" t="e">
        <f t="shared" si="26"/>
        <v>#DIV/0!</v>
      </c>
      <c r="Q265" s="11" t="str">
        <f t="shared" si="27"/>
        <v>Within Tolerance</v>
      </c>
      <c r="U265" s="9"/>
    </row>
    <row r="266" spans="1:21">
      <c r="A266" s="83">
        <v>5225</v>
      </c>
      <c r="B266" s="60" t="s">
        <v>474</v>
      </c>
      <c r="C266" s="78">
        <f t="shared" si="28"/>
        <v>155403.7224</v>
      </c>
      <c r="D266" s="79">
        <v>1</v>
      </c>
      <c r="E266" s="80">
        <f t="shared" si="29"/>
        <v>0.12</v>
      </c>
      <c r="F266" s="81">
        <v>1053434.2</v>
      </c>
      <c r="G266" s="81">
        <v>0</v>
      </c>
      <c r="H266" s="81">
        <v>96501.319999999992</v>
      </c>
      <c r="I266" s="81">
        <v>98790</v>
      </c>
      <c r="J266" s="81">
        <v>42064</v>
      </c>
      <c r="K266" s="81">
        <v>4241.5</v>
      </c>
      <c r="L266" s="82">
        <f t="shared" si="30"/>
        <v>1295031.02</v>
      </c>
      <c r="M266" s="2">
        <f>Balances_form!$E$5</f>
        <v>0</v>
      </c>
      <c r="N266" s="82">
        <v>-78228.029999999402</v>
      </c>
      <c r="O266" s="9">
        <f t="shared" si="25"/>
        <v>-78228.029999999402</v>
      </c>
      <c r="P266" s="10" t="e">
        <f t="shared" si="26"/>
        <v>#DIV/0!</v>
      </c>
      <c r="Q266" s="11" t="e">
        <f t="shared" si="27"/>
        <v>#DIV/0!</v>
      </c>
      <c r="U266" s="9"/>
    </row>
    <row r="267" spans="1:21">
      <c r="A267" s="83">
        <v>5226</v>
      </c>
      <c r="B267" s="60" t="s">
        <v>475</v>
      </c>
      <c r="C267" s="78">
        <f t="shared" si="28"/>
        <v>330048.59280000004</v>
      </c>
      <c r="D267" s="79">
        <v>1</v>
      </c>
      <c r="E267" s="80">
        <f t="shared" si="29"/>
        <v>0.12</v>
      </c>
      <c r="F267" s="81">
        <v>2418429.5900000003</v>
      </c>
      <c r="G267" s="81">
        <v>0</v>
      </c>
      <c r="H267" s="81">
        <v>120825.42000000001</v>
      </c>
      <c r="I267" s="81">
        <v>177077</v>
      </c>
      <c r="J267" s="81">
        <v>22306.93</v>
      </c>
      <c r="K267" s="81">
        <v>11766</v>
      </c>
      <c r="L267" s="82">
        <f t="shared" si="30"/>
        <v>2750404.9400000004</v>
      </c>
      <c r="M267" s="2">
        <f>Balances_form!$E$5</f>
        <v>0</v>
      </c>
      <c r="N267" s="82">
        <v>-130907.05000000092</v>
      </c>
      <c r="O267" s="9">
        <f t="shared" si="25"/>
        <v>-130907.05000000092</v>
      </c>
      <c r="P267" s="10" t="e">
        <f t="shared" si="26"/>
        <v>#DIV/0!</v>
      </c>
      <c r="Q267" s="11" t="e">
        <f t="shared" si="27"/>
        <v>#DIV/0!</v>
      </c>
      <c r="U267" s="9"/>
    </row>
    <row r="268" spans="1:21">
      <c r="A268" s="83">
        <v>5407</v>
      </c>
      <c r="B268" s="60" t="s">
        <v>476</v>
      </c>
      <c r="C268" s="78">
        <f t="shared" si="28"/>
        <v>735659.85299999989</v>
      </c>
      <c r="D268" s="79">
        <v>2</v>
      </c>
      <c r="E268" s="80">
        <f t="shared" si="29"/>
        <v>7.4999999999999997E-2</v>
      </c>
      <c r="F268" s="81">
        <v>8675885.6199999992</v>
      </c>
      <c r="G268" s="81">
        <v>384182.24</v>
      </c>
      <c r="H268" s="81">
        <v>201801.32</v>
      </c>
      <c r="I268" s="81">
        <v>481420</v>
      </c>
      <c r="J268" s="81">
        <v>16113.86</v>
      </c>
      <c r="K268" s="81">
        <v>49395</v>
      </c>
      <c r="L268" s="82">
        <f t="shared" si="30"/>
        <v>9808798.0399999991</v>
      </c>
      <c r="M268" s="2">
        <f>Balances_form!$E$5</f>
        <v>0</v>
      </c>
      <c r="N268" s="82">
        <v>-144458.38999999932</v>
      </c>
      <c r="O268" s="9">
        <f t="shared" si="25"/>
        <v>-144458.38999999932</v>
      </c>
      <c r="P268" s="10" t="e">
        <f t="shared" si="26"/>
        <v>#DIV/0!</v>
      </c>
      <c r="Q268" s="11" t="e">
        <f t="shared" si="27"/>
        <v>#DIV/0!</v>
      </c>
      <c r="U268" s="9"/>
    </row>
    <row r="269" spans="1:21">
      <c r="A269" s="83">
        <v>5412</v>
      </c>
      <c r="B269" s="60" t="s">
        <v>477</v>
      </c>
      <c r="C269" s="78">
        <f t="shared" si="28"/>
        <v>645826.6762499999</v>
      </c>
      <c r="D269" s="79">
        <v>2</v>
      </c>
      <c r="E269" s="80">
        <f t="shared" si="29"/>
        <v>7.4999999999999997E-2</v>
      </c>
      <c r="F269" s="81">
        <v>5483915.4500000002</v>
      </c>
      <c r="G269" s="81">
        <v>2633939.9900000002</v>
      </c>
      <c r="H269" s="81">
        <v>376354.91000000003</v>
      </c>
      <c r="I269" s="81">
        <v>67000</v>
      </c>
      <c r="J269" s="81">
        <v>6799.5</v>
      </c>
      <c r="K269" s="81">
        <v>43012.5</v>
      </c>
      <c r="L269" s="82">
        <f t="shared" si="30"/>
        <v>8611022.3499999996</v>
      </c>
      <c r="M269" s="2">
        <f>Balances_form!$E$5</f>
        <v>0</v>
      </c>
      <c r="N269" s="82">
        <v>-121340.95999999903</v>
      </c>
      <c r="O269" s="9">
        <f t="shared" ref="O269:O297" si="31">N269-M269</f>
        <v>-121340.95999999903</v>
      </c>
      <c r="P269" s="10" t="e">
        <f t="shared" ref="P269:P297" si="32">O269/M269</f>
        <v>#DIV/0!</v>
      </c>
      <c r="Q269" s="11" t="e">
        <f t="shared" ref="Q269:Q297" si="33">IF(AND(O269&lt;$Q$2,O269&gt;-$Q$2),"Within Tolerance",IF(AND(P269&lt;$R$2,P269&gt;-$R$2),"Within Tolerance",O269))</f>
        <v>#DIV/0!</v>
      </c>
      <c r="U269" s="9"/>
    </row>
    <row r="270" spans="1:21">
      <c r="A270" s="83">
        <v>5425</v>
      </c>
      <c r="B270" s="60" t="s">
        <v>478</v>
      </c>
      <c r="C270" s="78">
        <f t="shared" si="28"/>
        <v>818162.12999999989</v>
      </c>
      <c r="D270" s="79">
        <v>2</v>
      </c>
      <c r="E270" s="80">
        <f t="shared" si="29"/>
        <v>7.4999999999999997E-2</v>
      </c>
      <c r="F270" s="81">
        <v>8343804.3399999999</v>
      </c>
      <c r="G270" s="81">
        <v>1128037.67</v>
      </c>
      <c r="H270" s="81">
        <v>1067062.53</v>
      </c>
      <c r="I270" s="81">
        <v>296630</v>
      </c>
      <c r="J270" s="81">
        <v>8913.86</v>
      </c>
      <c r="K270" s="81">
        <v>64380</v>
      </c>
      <c r="L270" s="82">
        <f t="shared" si="30"/>
        <v>10908828.399999999</v>
      </c>
      <c r="M270" s="2">
        <f>Balances_form!$E$5</f>
        <v>0</v>
      </c>
      <c r="N270" s="82">
        <v>-266588.98999999871</v>
      </c>
      <c r="O270" s="9">
        <f t="shared" si="31"/>
        <v>-266588.98999999871</v>
      </c>
      <c r="P270" s="10" t="e">
        <f t="shared" si="32"/>
        <v>#DIV/0!</v>
      </c>
      <c r="Q270" s="11" t="e">
        <f t="shared" si="33"/>
        <v>#DIV/0!</v>
      </c>
      <c r="U270" s="9"/>
    </row>
    <row r="271" spans="1:21">
      <c r="A271" s="83">
        <v>5426</v>
      </c>
      <c r="B271" s="60" t="s">
        <v>479</v>
      </c>
      <c r="C271" s="78">
        <f t="shared" si="28"/>
        <v>538141.95449999988</v>
      </c>
      <c r="D271" s="79">
        <v>2</v>
      </c>
      <c r="E271" s="80">
        <f t="shared" si="29"/>
        <v>7.4999999999999997E-2</v>
      </c>
      <c r="F271" s="81">
        <v>5716706.2199999997</v>
      </c>
      <c r="G271" s="81">
        <v>870141.48</v>
      </c>
      <c r="H271" s="81">
        <v>157069.89000000001</v>
      </c>
      <c r="I271" s="81">
        <v>390021.6</v>
      </c>
      <c r="J271" s="81">
        <v>15312.87</v>
      </c>
      <c r="K271" s="81">
        <v>25974</v>
      </c>
      <c r="L271" s="82">
        <f t="shared" si="30"/>
        <v>7175226.0599999987</v>
      </c>
      <c r="M271" s="2">
        <f>Balances_form!$E$5</f>
        <v>0</v>
      </c>
      <c r="N271" s="82">
        <v>-157464.1900000009</v>
      </c>
      <c r="O271" s="9">
        <f t="shared" si="31"/>
        <v>-157464.1900000009</v>
      </c>
      <c r="P271" s="10" t="e">
        <f t="shared" si="32"/>
        <v>#DIV/0!</v>
      </c>
      <c r="Q271" s="11" t="e">
        <f t="shared" si="33"/>
        <v>#DIV/0!</v>
      </c>
      <c r="U271" s="9"/>
    </row>
    <row r="272" spans="1:21">
      <c r="A272" s="83">
        <v>5447</v>
      </c>
      <c r="B272" s="60" t="s">
        <v>480</v>
      </c>
      <c r="C272" s="78">
        <f t="shared" si="28"/>
        <v>918474.78599999996</v>
      </c>
      <c r="D272" s="79">
        <v>4</v>
      </c>
      <c r="E272" s="80">
        <f t="shared" si="29"/>
        <v>8.5000000000000006E-2</v>
      </c>
      <c r="F272" s="81">
        <v>10252949.470000001</v>
      </c>
      <c r="G272" s="81">
        <v>842316.24</v>
      </c>
      <c r="H272" s="81">
        <v>224062.12</v>
      </c>
      <c r="I272" s="81">
        <v>730109</v>
      </c>
      <c r="J272" s="81">
        <v>103006.65</v>
      </c>
      <c r="K272" s="81">
        <v>93887</v>
      </c>
      <c r="L272" s="82">
        <f t="shared" si="30"/>
        <v>12246330.48</v>
      </c>
      <c r="M272" s="2">
        <f>Balances_form!$E$5</f>
        <v>0</v>
      </c>
      <c r="N272" s="82">
        <v>-1213976.860000002</v>
      </c>
      <c r="O272" s="9">
        <f t="shared" si="31"/>
        <v>-1213976.860000002</v>
      </c>
      <c r="P272" s="10" t="e">
        <f t="shared" si="32"/>
        <v>#DIV/0!</v>
      </c>
      <c r="Q272" s="11" t="e">
        <f t="shared" si="33"/>
        <v>#DIV/0!</v>
      </c>
      <c r="S272" s="9"/>
      <c r="U272" s="9"/>
    </row>
    <row r="273" spans="1:21">
      <c r="A273" s="83">
        <v>5456</v>
      </c>
      <c r="B273" s="60" t="s">
        <v>481</v>
      </c>
      <c r="C273" s="78">
        <f t="shared" si="28"/>
        <v>674190.13499999989</v>
      </c>
      <c r="D273" s="79">
        <v>2</v>
      </c>
      <c r="E273" s="80">
        <f t="shared" si="29"/>
        <v>7.4999999999999997E-2</v>
      </c>
      <c r="F273" s="81">
        <v>7290596.8899999987</v>
      </c>
      <c r="G273" s="81">
        <v>1274924.3900000001</v>
      </c>
      <c r="H273" s="81">
        <v>35277.64</v>
      </c>
      <c r="I273" s="81">
        <v>331571.52</v>
      </c>
      <c r="J273" s="81">
        <v>7713.86</v>
      </c>
      <c r="K273" s="81">
        <v>49117.5</v>
      </c>
      <c r="L273" s="82">
        <f t="shared" si="30"/>
        <v>8989201.7999999989</v>
      </c>
      <c r="M273" s="2">
        <f>Balances_form!$E$5</f>
        <v>0</v>
      </c>
      <c r="N273" s="82">
        <v>-30150.420000000595</v>
      </c>
      <c r="O273" s="9">
        <f t="shared" si="31"/>
        <v>-30150.420000000595</v>
      </c>
      <c r="P273" s="10" t="e">
        <f t="shared" si="32"/>
        <v>#DIV/0!</v>
      </c>
      <c r="Q273" s="11" t="e">
        <f t="shared" si="33"/>
        <v>#DIV/0!</v>
      </c>
      <c r="U273" s="9"/>
    </row>
    <row r="274" spans="1:21">
      <c r="A274" s="83">
        <v>5459</v>
      </c>
      <c r="B274" s="60" t="s">
        <v>482</v>
      </c>
      <c r="C274" s="78">
        <f t="shared" si="28"/>
        <v>467310.50849999994</v>
      </c>
      <c r="D274" s="79">
        <v>2</v>
      </c>
      <c r="E274" s="80">
        <f t="shared" si="29"/>
        <v>7.4999999999999997E-2</v>
      </c>
      <c r="F274" s="81">
        <v>4778336.45</v>
      </c>
      <c r="G274" s="81">
        <v>1189815.22</v>
      </c>
      <c r="H274" s="81">
        <v>17452.39</v>
      </c>
      <c r="I274" s="81">
        <v>186707</v>
      </c>
      <c r="J274" s="81">
        <v>3828.22</v>
      </c>
      <c r="K274" s="81">
        <v>54667.5</v>
      </c>
      <c r="L274" s="82">
        <f t="shared" si="30"/>
        <v>6230806.7799999993</v>
      </c>
      <c r="M274" s="2">
        <f>Balances_form!$E$5</f>
        <v>0</v>
      </c>
      <c r="N274" s="82">
        <v>-178455.39999999991</v>
      </c>
      <c r="O274" s="9">
        <f t="shared" si="31"/>
        <v>-178455.39999999991</v>
      </c>
      <c r="P274" s="10" t="e">
        <f t="shared" si="32"/>
        <v>#DIV/0!</v>
      </c>
      <c r="Q274" s="11" t="e">
        <f t="shared" si="33"/>
        <v>#DIV/0!</v>
      </c>
      <c r="U274" s="9"/>
    </row>
    <row r="275" spans="1:21">
      <c r="A275" s="83">
        <v>5461</v>
      </c>
      <c r="B275" s="60" t="s">
        <v>483</v>
      </c>
      <c r="C275" s="78">
        <f t="shared" si="28"/>
        <v>855362.57250000001</v>
      </c>
      <c r="D275" s="79">
        <v>2</v>
      </c>
      <c r="E275" s="80">
        <f t="shared" si="29"/>
        <v>7.4999999999999997E-2</v>
      </c>
      <c r="F275" s="81">
        <v>8600322.0999999996</v>
      </c>
      <c r="G275" s="81">
        <v>2260161.63</v>
      </c>
      <c r="H275" s="81">
        <v>130143.23</v>
      </c>
      <c r="I275" s="81">
        <v>311120</v>
      </c>
      <c r="J275" s="81">
        <v>5942.57</v>
      </c>
      <c r="K275" s="81">
        <v>97144.77</v>
      </c>
      <c r="L275" s="82">
        <f t="shared" si="30"/>
        <v>11404834.300000001</v>
      </c>
      <c r="M275" s="2">
        <f>Balances_form!$E$5</f>
        <v>0</v>
      </c>
      <c r="N275" s="82">
        <v>-754798.12000000058</v>
      </c>
      <c r="O275" s="9">
        <f t="shared" si="31"/>
        <v>-754798.12000000058</v>
      </c>
      <c r="P275" s="10" t="e">
        <f t="shared" si="32"/>
        <v>#DIV/0!</v>
      </c>
      <c r="Q275" s="11" t="e">
        <f t="shared" si="33"/>
        <v>#DIV/0!</v>
      </c>
      <c r="U275" s="9"/>
    </row>
    <row r="276" spans="1:21">
      <c r="A276" s="83">
        <v>7002</v>
      </c>
      <c r="B276" s="60" t="s">
        <v>484</v>
      </c>
      <c r="C276" s="78">
        <f t="shared" si="28"/>
        <v>1371191.1804</v>
      </c>
      <c r="D276" s="79">
        <v>1</v>
      </c>
      <c r="E276" s="80">
        <f t="shared" si="29"/>
        <v>0.12</v>
      </c>
      <c r="F276" s="81">
        <v>4636899.21</v>
      </c>
      <c r="G276" s="81">
        <v>1210931.2199999997</v>
      </c>
      <c r="H276" s="81">
        <v>5427792.5199999996</v>
      </c>
      <c r="I276" s="81">
        <v>149125</v>
      </c>
      <c r="J276" s="81">
        <v>1845.22</v>
      </c>
      <c r="K276" s="81">
        <v>0</v>
      </c>
      <c r="L276" s="82">
        <f t="shared" si="30"/>
        <v>11426593.17</v>
      </c>
      <c r="M276" s="2">
        <f>Balances_form!$E$5</f>
        <v>0</v>
      </c>
      <c r="N276" s="82">
        <v>-120484.33999999493</v>
      </c>
      <c r="O276" s="9">
        <f t="shared" si="31"/>
        <v>-120484.33999999493</v>
      </c>
      <c r="P276" s="10" t="e">
        <f t="shared" si="32"/>
        <v>#DIV/0!</v>
      </c>
      <c r="Q276" s="11" t="e">
        <f t="shared" si="33"/>
        <v>#DIV/0!</v>
      </c>
      <c r="U276" s="9"/>
    </row>
    <row r="277" spans="1:21">
      <c r="A277" s="83">
        <v>7021</v>
      </c>
      <c r="B277" s="60" t="s">
        <v>485</v>
      </c>
      <c r="C277" s="78">
        <f t="shared" si="28"/>
        <v>893208.99840000004</v>
      </c>
      <c r="D277" s="79">
        <v>1</v>
      </c>
      <c r="E277" s="80">
        <f t="shared" si="29"/>
        <v>0.12</v>
      </c>
      <c r="F277" s="81">
        <v>1412873.2300000002</v>
      </c>
      <c r="G277" s="81">
        <v>305842.21999999997</v>
      </c>
      <c r="H277" s="81">
        <v>5652254.3399999999</v>
      </c>
      <c r="I277" s="81">
        <v>46275</v>
      </c>
      <c r="J277" s="81">
        <v>26163.53</v>
      </c>
      <c r="K277" s="81">
        <v>0</v>
      </c>
      <c r="L277" s="82">
        <f t="shared" si="30"/>
        <v>7443408.3200000003</v>
      </c>
      <c r="M277" s="2">
        <f>Balances_form!$E$5</f>
        <v>0</v>
      </c>
      <c r="N277" s="82">
        <v>-675814.55166666303</v>
      </c>
      <c r="O277" s="9">
        <f t="shared" si="31"/>
        <v>-675814.55166666303</v>
      </c>
      <c r="P277" s="10" t="e">
        <f t="shared" si="32"/>
        <v>#DIV/0!</v>
      </c>
      <c r="Q277" s="11" t="e">
        <f t="shared" si="33"/>
        <v>#DIV/0!</v>
      </c>
      <c r="U277" s="9"/>
    </row>
    <row r="278" spans="1:21">
      <c r="A278" s="83">
        <v>7032</v>
      </c>
      <c r="B278" s="60" t="s">
        <v>486</v>
      </c>
      <c r="C278" s="78">
        <f t="shared" si="28"/>
        <v>748758.92280000006</v>
      </c>
      <c r="D278" s="79">
        <v>1</v>
      </c>
      <c r="E278" s="80">
        <f t="shared" si="29"/>
        <v>0.12</v>
      </c>
      <c r="F278" s="81">
        <v>3179101.66</v>
      </c>
      <c r="G278" s="81">
        <v>0</v>
      </c>
      <c r="H278" s="81">
        <v>2818918.0300000003</v>
      </c>
      <c r="I278" s="81">
        <v>218810</v>
      </c>
      <c r="J278" s="81">
        <v>22828</v>
      </c>
      <c r="K278" s="81">
        <v>0</v>
      </c>
      <c r="L278" s="82">
        <f t="shared" si="30"/>
        <v>6239657.6900000004</v>
      </c>
      <c r="M278" s="2">
        <f>Balances_form!$E$5</f>
        <v>0</v>
      </c>
      <c r="N278" s="82">
        <v>-438910.55000000005</v>
      </c>
      <c r="O278" s="9">
        <f t="shared" si="31"/>
        <v>-438910.55000000005</v>
      </c>
      <c r="P278" s="10" t="e">
        <f t="shared" si="32"/>
        <v>#DIV/0!</v>
      </c>
      <c r="Q278" s="11" t="e">
        <f t="shared" si="33"/>
        <v>#DIV/0!</v>
      </c>
      <c r="U278" s="9"/>
    </row>
    <row r="279" spans="1:21">
      <c r="A279" s="83">
        <v>7033</v>
      </c>
      <c r="B279" s="60" t="s">
        <v>487</v>
      </c>
      <c r="C279" s="78">
        <f t="shared" si="28"/>
        <v>370890.6336</v>
      </c>
      <c r="D279" s="79">
        <v>1</v>
      </c>
      <c r="E279" s="80">
        <f t="shared" si="29"/>
        <v>0.12</v>
      </c>
      <c r="F279" s="81">
        <v>1409660.33</v>
      </c>
      <c r="G279" s="81">
        <v>0</v>
      </c>
      <c r="H279" s="81">
        <v>1557832.02</v>
      </c>
      <c r="I279" s="81">
        <v>105050</v>
      </c>
      <c r="J279" s="81">
        <v>18212.93</v>
      </c>
      <c r="K279" s="81">
        <v>0</v>
      </c>
      <c r="L279" s="82">
        <f t="shared" ref="L279:L297" si="34">SUM(F279:K279)</f>
        <v>3090755.2800000003</v>
      </c>
      <c r="M279" s="2">
        <f>Balances_form!$E$5</f>
        <v>0</v>
      </c>
      <c r="N279" s="82">
        <v>-216719.59999999907</v>
      </c>
      <c r="O279" s="9">
        <f t="shared" si="31"/>
        <v>-216719.59999999907</v>
      </c>
      <c r="P279" s="10" t="e">
        <f t="shared" si="32"/>
        <v>#DIV/0!</v>
      </c>
      <c r="Q279" s="11" t="e">
        <f t="shared" si="33"/>
        <v>#DIV/0!</v>
      </c>
      <c r="U279" s="9"/>
    </row>
    <row r="280" spans="1:21">
      <c r="A280" s="83">
        <v>7039</v>
      </c>
      <c r="B280" s="60" t="s">
        <v>488</v>
      </c>
      <c r="C280" s="78">
        <f t="shared" si="28"/>
        <v>927377.5392</v>
      </c>
      <c r="D280" s="79">
        <v>1</v>
      </c>
      <c r="E280" s="80">
        <f t="shared" si="29"/>
        <v>0.12</v>
      </c>
      <c r="F280" s="81">
        <v>3367603.4400000004</v>
      </c>
      <c r="G280" s="81">
        <v>524559.89</v>
      </c>
      <c r="H280" s="81">
        <v>3671162.1</v>
      </c>
      <c r="I280" s="81">
        <v>139825.72999999998</v>
      </c>
      <c r="J280" s="81">
        <v>24995</v>
      </c>
      <c r="K280" s="81">
        <v>0</v>
      </c>
      <c r="L280" s="82">
        <f t="shared" si="34"/>
        <v>7728146.1600000001</v>
      </c>
      <c r="M280" s="2">
        <f>Balances_form!$E$5</f>
        <v>0</v>
      </c>
      <c r="N280" s="82">
        <v>-718796.21999999776</v>
      </c>
      <c r="O280" s="9">
        <f t="shared" si="31"/>
        <v>-718796.21999999776</v>
      </c>
      <c r="P280" s="10" t="e">
        <f t="shared" si="32"/>
        <v>#DIV/0!</v>
      </c>
      <c r="Q280" s="11" t="e">
        <f t="shared" si="33"/>
        <v>#DIV/0!</v>
      </c>
      <c r="U280" s="9"/>
    </row>
    <row r="281" spans="1:21">
      <c r="A281" s="83">
        <v>7040</v>
      </c>
      <c r="B281" s="60" t="s">
        <v>489</v>
      </c>
      <c r="C281" s="78">
        <f t="shared" si="28"/>
        <v>991226.1767999999</v>
      </c>
      <c r="D281" s="79">
        <v>1</v>
      </c>
      <c r="E281" s="80">
        <f t="shared" si="29"/>
        <v>0.12</v>
      </c>
      <c r="F281" s="81">
        <v>3554012.52</v>
      </c>
      <c r="G281" s="81">
        <v>331459.36</v>
      </c>
      <c r="H281" s="81">
        <v>4184039.33</v>
      </c>
      <c r="I281" s="81">
        <v>157900</v>
      </c>
      <c r="J281" s="81">
        <v>32806.93</v>
      </c>
      <c r="K281" s="81">
        <v>0</v>
      </c>
      <c r="L281" s="82">
        <f t="shared" si="34"/>
        <v>8260218.1399999997</v>
      </c>
      <c r="M281" s="2">
        <f>Balances_form!$E$5</f>
        <v>0</v>
      </c>
      <c r="N281" s="82">
        <v>-369791.5399999998</v>
      </c>
      <c r="O281" s="9">
        <f t="shared" si="31"/>
        <v>-369791.5399999998</v>
      </c>
      <c r="P281" s="10" t="e">
        <f t="shared" si="32"/>
        <v>#DIV/0!</v>
      </c>
      <c r="Q281" s="11" t="e">
        <f t="shared" si="33"/>
        <v>#DIV/0!</v>
      </c>
      <c r="U281" s="9"/>
    </row>
    <row r="282" spans="1:21">
      <c r="A282" s="83">
        <v>7041</v>
      </c>
      <c r="B282" s="60" t="s">
        <v>490</v>
      </c>
      <c r="C282" s="78">
        <f t="shared" si="28"/>
        <v>733612.15919999999</v>
      </c>
      <c r="D282" s="79">
        <v>1</v>
      </c>
      <c r="E282" s="80">
        <f t="shared" si="29"/>
        <v>0.12</v>
      </c>
      <c r="F282" s="81">
        <v>2439417.6399999997</v>
      </c>
      <c r="G282" s="81">
        <v>355090.64</v>
      </c>
      <c r="H282" s="81">
        <v>3194728.8099999996</v>
      </c>
      <c r="I282" s="81">
        <v>120655</v>
      </c>
      <c r="J282" s="81">
        <v>3542.57</v>
      </c>
      <c r="K282" s="81">
        <v>0</v>
      </c>
      <c r="L282" s="82">
        <f t="shared" si="34"/>
        <v>6113434.6600000001</v>
      </c>
      <c r="M282" s="2">
        <f>Balances_form!$E$5</f>
        <v>0</v>
      </c>
      <c r="N282" s="82">
        <v>-600281.78016666672</v>
      </c>
      <c r="O282" s="9">
        <f t="shared" si="31"/>
        <v>-600281.78016666672</v>
      </c>
      <c r="P282" s="10" t="e">
        <f t="shared" si="32"/>
        <v>#DIV/0!</v>
      </c>
      <c r="Q282" s="11" t="e">
        <f t="shared" si="33"/>
        <v>#DIV/0!</v>
      </c>
      <c r="U282" s="9"/>
    </row>
    <row r="283" spans="1:21">
      <c r="A283" s="83">
        <v>7043</v>
      </c>
      <c r="B283" s="60" t="s">
        <v>491</v>
      </c>
      <c r="C283" s="78">
        <f t="shared" si="28"/>
        <v>1371532.7939999998</v>
      </c>
      <c r="D283" s="79">
        <v>1</v>
      </c>
      <c r="E283" s="80">
        <f t="shared" si="29"/>
        <v>0.12</v>
      </c>
      <c r="F283" s="81">
        <v>5525655.1199999992</v>
      </c>
      <c r="G283" s="81">
        <v>790391.42</v>
      </c>
      <c r="H283" s="81">
        <v>4796927.1899999995</v>
      </c>
      <c r="I283" s="81">
        <v>266495</v>
      </c>
      <c r="J283" s="81">
        <v>49971.22</v>
      </c>
      <c r="K283" s="81">
        <v>0</v>
      </c>
      <c r="L283" s="82">
        <f t="shared" si="34"/>
        <v>11429439.949999999</v>
      </c>
      <c r="M283" s="2">
        <f>Balances_form!$E$5</f>
        <v>0</v>
      </c>
      <c r="N283" s="82">
        <v>-561586.50999999605</v>
      </c>
      <c r="O283" s="9">
        <f t="shared" si="31"/>
        <v>-561586.50999999605</v>
      </c>
      <c r="P283" s="10" t="e">
        <f t="shared" si="32"/>
        <v>#DIV/0!</v>
      </c>
      <c r="Q283" s="11" t="e">
        <f t="shared" si="33"/>
        <v>#DIV/0!</v>
      </c>
      <c r="U283" s="9"/>
    </row>
    <row r="284" spans="1:21">
      <c r="A284" s="83">
        <v>7044</v>
      </c>
      <c r="B284" s="60" t="s">
        <v>492</v>
      </c>
      <c r="C284" s="78">
        <f t="shared" si="28"/>
        <v>600020.57039999997</v>
      </c>
      <c r="D284" s="79">
        <v>1</v>
      </c>
      <c r="E284" s="80">
        <f t="shared" si="29"/>
        <v>0.12</v>
      </c>
      <c r="F284" s="81">
        <v>2331447.6</v>
      </c>
      <c r="G284" s="81">
        <v>0</v>
      </c>
      <c r="H284" s="81">
        <v>2507413.1399999997</v>
      </c>
      <c r="I284" s="81">
        <v>145922.5</v>
      </c>
      <c r="J284" s="81">
        <v>15388.18</v>
      </c>
      <c r="K284" s="81">
        <v>0</v>
      </c>
      <c r="L284" s="82">
        <f t="shared" si="34"/>
        <v>5000171.42</v>
      </c>
      <c r="M284" s="2">
        <f>Balances_form!$E$5</f>
        <v>0</v>
      </c>
      <c r="N284" s="82">
        <v>-129825.21000000086</v>
      </c>
      <c r="O284" s="9">
        <f t="shared" si="31"/>
        <v>-129825.21000000086</v>
      </c>
      <c r="P284" s="10" t="e">
        <f t="shared" si="32"/>
        <v>#DIV/0!</v>
      </c>
      <c r="Q284" s="11" t="e">
        <f t="shared" si="33"/>
        <v>#DIV/0!</v>
      </c>
      <c r="U284" s="9"/>
    </row>
    <row r="285" spans="1:21">
      <c r="A285" s="83">
        <v>7045</v>
      </c>
      <c r="B285" s="60" t="s">
        <v>493</v>
      </c>
      <c r="C285" s="78">
        <f t="shared" si="28"/>
        <v>495405.44280000002</v>
      </c>
      <c r="D285" s="79">
        <v>1</v>
      </c>
      <c r="E285" s="80">
        <f t="shared" si="29"/>
        <v>0.12</v>
      </c>
      <c r="F285" s="81">
        <v>2122217.9000000004</v>
      </c>
      <c r="G285" s="81">
        <v>0</v>
      </c>
      <c r="H285" s="81">
        <v>1824366.8599999999</v>
      </c>
      <c r="I285" s="81">
        <v>165795</v>
      </c>
      <c r="J285" s="81">
        <v>15998.93</v>
      </c>
      <c r="K285" s="81">
        <v>0</v>
      </c>
      <c r="L285" s="82">
        <f t="shared" si="34"/>
        <v>4128378.6900000004</v>
      </c>
      <c r="M285" s="2">
        <f>Balances_form!$E$5</f>
        <v>0</v>
      </c>
      <c r="N285" s="82">
        <v>-346624.42000000103</v>
      </c>
      <c r="O285" s="9">
        <f t="shared" si="31"/>
        <v>-346624.42000000103</v>
      </c>
      <c r="P285" s="10" t="e">
        <f t="shared" si="32"/>
        <v>#DIV/0!</v>
      </c>
      <c r="Q285" s="11" t="e">
        <f t="shared" si="33"/>
        <v>#DIV/0!</v>
      </c>
      <c r="U285" s="9"/>
    </row>
    <row r="286" spans="1:21">
      <c r="A286" s="83">
        <v>7051</v>
      </c>
      <c r="B286" s="60" t="s">
        <v>494</v>
      </c>
      <c r="C286" s="78">
        <f t="shared" si="28"/>
        <v>1129641.1655999999</v>
      </c>
      <c r="D286" s="79">
        <v>1</v>
      </c>
      <c r="E286" s="80">
        <f t="shared" si="29"/>
        <v>0.12</v>
      </c>
      <c r="F286" s="81">
        <v>3951029.7199999997</v>
      </c>
      <c r="G286" s="81">
        <v>503716.59</v>
      </c>
      <c r="H286" s="81">
        <v>4771030.8500000006</v>
      </c>
      <c r="I286" s="81">
        <v>147610</v>
      </c>
      <c r="J286" s="81">
        <v>40289.22</v>
      </c>
      <c r="K286" s="81">
        <v>0</v>
      </c>
      <c r="L286" s="82">
        <f t="shared" si="34"/>
        <v>9413676.3800000008</v>
      </c>
      <c r="M286" s="2">
        <f>Balances_form!$E$5</f>
        <v>0</v>
      </c>
      <c r="N286" s="82">
        <v>-1112570.2400000009</v>
      </c>
      <c r="O286" s="9">
        <f t="shared" si="31"/>
        <v>-1112570.2400000009</v>
      </c>
      <c r="P286" s="10" t="e">
        <f t="shared" si="32"/>
        <v>#DIV/0!</v>
      </c>
      <c r="Q286" s="11" t="e">
        <f t="shared" si="33"/>
        <v>#DIV/0!</v>
      </c>
      <c r="U286" s="9"/>
    </row>
    <row r="287" spans="1:21">
      <c r="A287" s="83">
        <v>7052</v>
      </c>
      <c r="B287" s="60" t="s">
        <v>495</v>
      </c>
      <c r="C287" s="78">
        <f t="shared" si="28"/>
        <v>598280.77079999982</v>
      </c>
      <c r="D287" s="79">
        <v>1</v>
      </c>
      <c r="E287" s="80">
        <f t="shared" si="29"/>
        <v>0.12</v>
      </c>
      <c r="F287" s="81">
        <v>2017238.01</v>
      </c>
      <c r="G287" s="81">
        <v>685345.40999999992</v>
      </c>
      <c r="H287" s="81">
        <v>2212273.0299999998</v>
      </c>
      <c r="I287" s="81">
        <v>53885</v>
      </c>
      <c r="J287" s="81">
        <v>16931.64</v>
      </c>
      <c r="K287" s="81">
        <v>0</v>
      </c>
      <c r="L287" s="82">
        <f t="shared" si="34"/>
        <v>4985673.0899999989</v>
      </c>
      <c r="M287" s="2">
        <f>Balances_form!$E$5</f>
        <v>0</v>
      </c>
      <c r="N287" s="82">
        <v>-1649734.0100000002</v>
      </c>
      <c r="O287" s="9">
        <f t="shared" si="31"/>
        <v>-1649734.0100000002</v>
      </c>
      <c r="P287" s="10" t="e">
        <f t="shared" si="32"/>
        <v>#DIV/0!</v>
      </c>
      <c r="Q287" s="11" t="e">
        <f t="shared" si="33"/>
        <v>#DIV/0!</v>
      </c>
      <c r="U287" s="9"/>
    </row>
    <row r="288" spans="1:21">
      <c r="A288" s="83">
        <v>7056</v>
      </c>
      <c r="B288" s="60" t="s">
        <v>496</v>
      </c>
      <c r="C288" s="78">
        <f t="shared" si="28"/>
        <v>2430535.3392000003</v>
      </c>
      <c r="D288" s="79">
        <v>1</v>
      </c>
      <c r="E288" s="80">
        <f t="shared" si="29"/>
        <v>0.12</v>
      </c>
      <c r="F288" s="81">
        <v>10517113.950000001</v>
      </c>
      <c r="G288" s="81">
        <v>1207869.6299999999</v>
      </c>
      <c r="H288" s="81">
        <v>8003211.5800000001</v>
      </c>
      <c r="I288" s="81">
        <v>473269</v>
      </c>
      <c r="J288" s="81">
        <v>52997</v>
      </c>
      <c r="K288" s="81">
        <v>0</v>
      </c>
      <c r="L288" s="82">
        <f t="shared" si="34"/>
        <v>20254461.160000004</v>
      </c>
      <c r="M288" s="2">
        <f>Balances_form!$E$5</f>
        <v>0</v>
      </c>
      <c r="N288" s="82">
        <v>-1317923.0199999884</v>
      </c>
      <c r="O288" s="9">
        <f t="shared" si="31"/>
        <v>-1317923.0199999884</v>
      </c>
      <c r="P288" s="10" t="e">
        <f t="shared" si="32"/>
        <v>#DIV/0!</v>
      </c>
      <c r="Q288" s="11" t="e">
        <f t="shared" si="33"/>
        <v>#DIV/0!</v>
      </c>
      <c r="U288" s="9"/>
    </row>
    <row r="289" spans="1:21">
      <c r="A289" s="83">
        <v>7058</v>
      </c>
      <c r="B289" s="60" t="s">
        <v>497</v>
      </c>
      <c r="C289" s="78">
        <f t="shared" si="28"/>
        <v>641957.09519999998</v>
      </c>
      <c r="D289" s="79">
        <v>1</v>
      </c>
      <c r="E289" s="80">
        <f t="shared" si="29"/>
        <v>0.12</v>
      </c>
      <c r="F289" s="81">
        <v>1380809.31</v>
      </c>
      <c r="G289" s="81">
        <v>155276.04999999999</v>
      </c>
      <c r="H289" s="81">
        <v>3709211.17</v>
      </c>
      <c r="I289" s="81">
        <v>87925</v>
      </c>
      <c r="J289" s="81">
        <v>16420.93</v>
      </c>
      <c r="K289" s="81">
        <v>0</v>
      </c>
      <c r="L289" s="82">
        <f t="shared" si="34"/>
        <v>5349642.46</v>
      </c>
      <c r="M289" s="2">
        <f>Balances_form!$E$5</f>
        <v>0</v>
      </c>
      <c r="N289" s="82">
        <v>-1248449.0899999987</v>
      </c>
      <c r="O289" s="9">
        <f t="shared" si="31"/>
        <v>-1248449.0899999987</v>
      </c>
      <c r="P289" s="10" t="e">
        <f t="shared" si="32"/>
        <v>#DIV/0!</v>
      </c>
      <c r="Q289" s="11" t="e">
        <f t="shared" si="33"/>
        <v>#DIV/0!</v>
      </c>
      <c r="U289" s="9"/>
    </row>
    <row r="290" spans="1:21">
      <c r="A290" s="83">
        <v>7062</v>
      </c>
      <c r="B290" s="60" t="s">
        <v>498</v>
      </c>
      <c r="C290" s="78">
        <f t="shared" si="28"/>
        <v>414819.6972</v>
      </c>
      <c r="D290" s="79">
        <v>1</v>
      </c>
      <c r="E290" s="80">
        <f t="shared" si="29"/>
        <v>0.12</v>
      </c>
      <c r="F290" s="81">
        <v>1467922.3900000001</v>
      </c>
      <c r="G290" s="81">
        <v>0</v>
      </c>
      <c r="H290" s="81">
        <v>1844427.06</v>
      </c>
      <c r="I290" s="81">
        <v>127672.5</v>
      </c>
      <c r="J290" s="81">
        <v>16808.86</v>
      </c>
      <c r="K290" s="81">
        <v>0</v>
      </c>
      <c r="L290" s="82">
        <f t="shared" si="34"/>
        <v>3456830.81</v>
      </c>
      <c r="M290" s="2">
        <f>Balances_form!$E$5</f>
        <v>0</v>
      </c>
      <c r="N290" s="82">
        <v>-210722.00000000035</v>
      </c>
      <c r="O290" s="9">
        <f t="shared" si="31"/>
        <v>-210722.00000000035</v>
      </c>
      <c r="P290" s="10" t="e">
        <f t="shared" si="32"/>
        <v>#DIV/0!</v>
      </c>
      <c r="Q290" s="11" t="e">
        <f t="shared" si="33"/>
        <v>#DIV/0!</v>
      </c>
      <c r="U290" s="9"/>
    </row>
    <row r="291" spans="1:21">
      <c r="A291" s="83">
        <v>7063</v>
      </c>
      <c r="B291" s="60" t="s">
        <v>499</v>
      </c>
      <c r="C291" s="78">
        <f t="shared" si="28"/>
        <v>1198668.5963999999</v>
      </c>
      <c r="D291" s="79">
        <v>1</v>
      </c>
      <c r="E291" s="80">
        <f t="shared" si="29"/>
        <v>0.12</v>
      </c>
      <c r="F291" s="81">
        <v>4871938.76</v>
      </c>
      <c r="G291" s="81">
        <v>524946.53</v>
      </c>
      <c r="H291" s="81">
        <v>4296962.08</v>
      </c>
      <c r="I291" s="81">
        <v>258369.59999999998</v>
      </c>
      <c r="J291" s="81">
        <v>36688</v>
      </c>
      <c r="K291" s="81">
        <v>0</v>
      </c>
      <c r="L291" s="82">
        <f t="shared" si="34"/>
        <v>9988904.9700000007</v>
      </c>
      <c r="M291" s="2">
        <f>Balances_form!$E$5</f>
        <v>0</v>
      </c>
      <c r="N291" s="82">
        <v>-807652.64000000199</v>
      </c>
      <c r="O291" s="9">
        <f t="shared" si="31"/>
        <v>-807652.64000000199</v>
      </c>
      <c r="P291" s="10" t="e">
        <f t="shared" si="32"/>
        <v>#DIV/0!</v>
      </c>
      <c r="Q291" s="11" t="e">
        <f t="shared" si="33"/>
        <v>#DIV/0!</v>
      </c>
      <c r="U291" s="9"/>
    </row>
    <row r="292" spans="1:21">
      <c r="A292" s="83">
        <v>7067</v>
      </c>
      <c r="B292" s="60" t="s">
        <v>500</v>
      </c>
      <c r="C292" s="78">
        <f t="shared" si="28"/>
        <v>321703.10639999987</v>
      </c>
      <c r="D292" s="79">
        <v>1</v>
      </c>
      <c r="E292" s="80">
        <f t="shared" si="29"/>
        <v>0.12</v>
      </c>
      <c r="F292" s="81">
        <v>1073001.99</v>
      </c>
      <c r="G292" s="81">
        <v>47.41</v>
      </c>
      <c r="H292" s="81">
        <v>1537587.2499999998</v>
      </c>
      <c r="I292" s="81">
        <v>66680</v>
      </c>
      <c r="J292" s="81">
        <v>3542.57</v>
      </c>
      <c r="K292" s="81">
        <v>0</v>
      </c>
      <c r="L292" s="82">
        <f t="shared" si="34"/>
        <v>2680859.2199999993</v>
      </c>
      <c r="M292" s="2">
        <f>Balances_form!$E$5</f>
        <v>0</v>
      </c>
      <c r="N292" s="82">
        <v>-358845.42000000167</v>
      </c>
      <c r="O292" s="9">
        <f t="shared" si="31"/>
        <v>-358845.42000000167</v>
      </c>
      <c r="P292" s="10" t="e">
        <f t="shared" si="32"/>
        <v>#DIV/0!</v>
      </c>
      <c r="Q292" s="11" t="e">
        <f t="shared" si="33"/>
        <v>#DIV/0!</v>
      </c>
      <c r="U292" s="9"/>
    </row>
    <row r="293" spans="1:21">
      <c r="A293" s="83">
        <v>7069</v>
      </c>
      <c r="B293" s="60" t="s">
        <v>501</v>
      </c>
      <c r="C293" s="78">
        <f t="shared" si="28"/>
        <v>1164430.5275999999</v>
      </c>
      <c r="D293" s="79">
        <v>1</v>
      </c>
      <c r="E293" s="80">
        <f t="shared" si="29"/>
        <v>0.12</v>
      </c>
      <c r="F293" s="81">
        <v>4431238.2</v>
      </c>
      <c r="G293" s="81">
        <v>563078.09</v>
      </c>
      <c r="H293" s="81">
        <v>4502377.51</v>
      </c>
      <c r="I293" s="81">
        <v>165640</v>
      </c>
      <c r="J293" s="81">
        <v>41253.93</v>
      </c>
      <c r="K293" s="81">
        <v>0</v>
      </c>
      <c r="L293" s="82">
        <f t="shared" si="34"/>
        <v>9703587.7300000004</v>
      </c>
      <c r="M293" s="2">
        <f>Balances_form!$E$5</f>
        <v>0</v>
      </c>
      <c r="N293" s="82">
        <v>-853671.59000000427</v>
      </c>
      <c r="O293" s="9">
        <f t="shared" si="31"/>
        <v>-853671.59000000427</v>
      </c>
      <c r="P293" s="10" t="e">
        <f t="shared" si="32"/>
        <v>#DIV/0!</v>
      </c>
      <c r="Q293" s="11" t="e">
        <f t="shared" si="33"/>
        <v>#DIV/0!</v>
      </c>
      <c r="U293" s="9"/>
    </row>
    <row r="294" spans="1:21">
      <c r="A294" s="83">
        <v>7070</v>
      </c>
      <c r="B294" s="60" t="s">
        <v>502</v>
      </c>
      <c r="C294" s="78">
        <f t="shared" si="28"/>
        <v>748312.29719999991</v>
      </c>
      <c r="D294" s="79">
        <v>1</v>
      </c>
      <c r="E294" s="80">
        <f t="shared" si="29"/>
        <v>0.12</v>
      </c>
      <c r="F294" s="81">
        <v>2784109.34</v>
      </c>
      <c r="G294" s="81">
        <v>372989.44</v>
      </c>
      <c r="H294" s="81">
        <v>2928964.03</v>
      </c>
      <c r="I294" s="81">
        <v>118820</v>
      </c>
      <c r="J294" s="81">
        <v>31053</v>
      </c>
      <c r="K294" s="81">
        <v>0</v>
      </c>
      <c r="L294" s="82">
        <f t="shared" si="34"/>
        <v>6235935.8099999996</v>
      </c>
      <c r="M294" s="2">
        <f>Balances_form!$E$5</f>
        <v>0</v>
      </c>
      <c r="N294" s="82">
        <v>-126833.94000000041</v>
      </c>
      <c r="O294" s="9">
        <f t="shared" si="31"/>
        <v>-126833.94000000041</v>
      </c>
      <c r="P294" s="10" t="e">
        <f t="shared" si="32"/>
        <v>#DIV/0!</v>
      </c>
      <c r="Q294" s="11" t="e">
        <f t="shared" si="33"/>
        <v>#DIV/0!</v>
      </c>
      <c r="U294" s="9"/>
    </row>
    <row r="295" spans="1:21">
      <c r="A295" s="83">
        <v>7072</v>
      </c>
      <c r="B295" s="60" t="s">
        <v>503</v>
      </c>
      <c r="C295" s="78">
        <f t="shared" si="28"/>
        <v>1239347.3783999998</v>
      </c>
      <c r="D295" s="79">
        <v>1</v>
      </c>
      <c r="E295" s="80">
        <f t="shared" si="29"/>
        <v>0.12</v>
      </c>
      <c r="F295" s="81">
        <v>4879383.1899999995</v>
      </c>
      <c r="G295" s="81">
        <v>648704.79999999993</v>
      </c>
      <c r="H295" s="81">
        <v>4516012.05</v>
      </c>
      <c r="I295" s="81">
        <v>244954.99</v>
      </c>
      <c r="J295" s="81">
        <v>38839.79</v>
      </c>
      <c r="K295" s="81">
        <v>0</v>
      </c>
      <c r="L295" s="82">
        <f t="shared" si="34"/>
        <v>10327894.819999998</v>
      </c>
      <c r="M295" s="2">
        <f>Balances_form!$E$5</f>
        <v>0</v>
      </c>
      <c r="N295" s="82">
        <v>-120604.44999999925</v>
      </c>
      <c r="O295" s="9">
        <f t="shared" si="31"/>
        <v>-120604.44999999925</v>
      </c>
      <c r="P295" s="10" t="e">
        <f t="shared" si="32"/>
        <v>#DIV/0!</v>
      </c>
      <c r="Q295" s="11" t="e">
        <f t="shared" si="33"/>
        <v>#DIV/0!</v>
      </c>
      <c r="U295" s="9"/>
    </row>
    <row r="296" spans="1:21">
      <c r="A296" s="83">
        <v>7073</v>
      </c>
      <c r="B296" s="60" t="s">
        <v>504</v>
      </c>
      <c r="C296" s="78">
        <f t="shared" si="28"/>
        <v>305504.05680000002</v>
      </c>
      <c r="D296" s="79">
        <v>1</v>
      </c>
      <c r="E296" s="80">
        <f t="shared" si="29"/>
        <v>0.12</v>
      </c>
      <c r="F296" s="81">
        <v>1153140.24</v>
      </c>
      <c r="G296" s="81">
        <v>61101.950000000004</v>
      </c>
      <c r="H296" s="81">
        <v>1268208.79</v>
      </c>
      <c r="I296" s="81">
        <v>48329.16</v>
      </c>
      <c r="J296" s="81">
        <v>15087</v>
      </c>
      <c r="K296" s="81">
        <v>0</v>
      </c>
      <c r="L296" s="82">
        <f t="shared" si="34"/>
        <v>2545867.14</v>
      </c>
      <c r="M296" s="2">
        <f>Balances_form!$E$5</f>
        <v>0</v>
      </c>
      <c r="N296" s="82">
        <v>-261040.30000000139</v>
      </c>
      <c r="O296" s="9">
        <f t="shared" si="31"/>
        <v>-261040.30000000139</v>
      </c>
      <c r="P296" s="10" t="e">
        <f t="shared" si="32"/>
        <v>#DIV/0!</v>
      </c>
      <c r="Q296" s="11" t="e">
        <f t="shared" si="33"/>
        <v>#DIV/0!</v>
      </c>
      <c r="U296" s="9"/>
    </row>
    <row r="297" spans="1:21">
      <c r="A297" s="84">
        <v>9999</v>
      </c>
      <c r="B297" s="68" t="s">
        <v>505</v>
      </c>
      <c r="C297" s="78">
        <f t="shared" si="28"/>
        <v>0</v>
      </c>
      <c r="D297" s="79">
        <v>1</v>
      </c>
      <c r="E297" s="80">
        <f t="shared" si="29"/>
        <v>0.12</v>
      </c>
      <c r="F297" s="81"/>
      <c r="G297" s="81"/>
      <c r="H297" s="81"/>
      <c r="I297" s="81"/>
      <c r="J297" s="81"/>
      <c r="K297" s="81">
        <v>0</v>
      </c>
      <c r="L297" s="82">
        <f t="shared" si="34"/>
        <v>0</v>
      </c>
      <c r="M297" s="2">
        <f>Balances_form!$E$5</f>
        <v>0</v>
      </c>
      <c r="N297" s="82">
        <v>0</v>
      </c>
      <c r="O297" s="9">
        <f t="shared" si="31"/>
        <v>0</v>
      </c>
      <c r="P297" s="10" t="e">
        <f t="shared" si="32"/>
        <v>#DIV/0!</v>
      </c>
      <c r="Q297" s="11" t="str">
        <f t="shared" si="33"/>
        <v>Within Tolerance</v>
      </c>
    </row>
  </sheetData>
  <sheetProtection algorithmName="SHA-512" hashValue="G8HdJpjpkrfpSc4ndGUqRZQVpQBHVV9MhpbwnfmE7wRTY47sfN57w2TW6hpQmMx9Fb0ZWMlZUpixKiETyjzeKQ==" saltValue="gyGTEx2Bl1C41TSdj5y87w==" spinCount="100000" sheet="1" objects="1" scenarios="1"/>
  <autoFilter ref="A2:N297" xr:uid="{00000000-0009-0000-0000-000001000000}"/>
  <mergeCells count="3">
    <mergeCell ref="R7:T18"/>
    <mergeCell ref="F1:J1"/>
    <mergeCell ref="U214:U218"/>
  </mergeCells>
  <phoneticPr fontId="0" type="noConversion"/>
  <pageMargins left="0.75" right="0.75" top="1" bottom="1" header="0.5" footer="0.5"/>
  <pageSetup paperSize="9" scale="1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5166C-2D6E-4807-B1FD-04BD6B040E40}">
  <sheetPr codeName="Sheet9"/>
  <dimension ref="A1:F9"/>
  <sheetViews>
    <sheetView workbookViewId="0">
      <selection activeCell="F15" sqref="F15"/>
    </sheetView>
  </sheetViews>
  <sheetFormatPr defaultRowHeight="15"/>
  <cols>
    <col min="2" max="2" width="12.1796875" customWidth="1"/>
    <col min="3" max="3" width="11.36328125" customWidth="1"/>
  </cols>
  <sheetData>
    <row r="1" spans="1:6" ht="15.6">
      <c r="A1" s="87" t="s">
        <v>506</v>
      </c>
    </row>
    <row r="2" spans="1:6" ht="15.6">
      <c r="B2" s="255" t="s">
        <v>507</v>
      </c>
      <c r="C2" s="255" t="s">
        <v>508</v>
      </c>
    </row>
    <row r="3" spans="1:6" ht="15.6">
      <c r="A3" s="87" t="s">
        <v>509</v>
      </c>
      <c r="B3" s="64">
        <v>46113</v>
      </c>
      <c r="C3" s="64">
        <v>45748</v>
      </c>
    </row>
    <row r="4" spans="1:6" ht="15.6">
      <c r="A4" s="87" t="s">
        <v>510</v>
      </c>
      <c r="B4" s="64">
        <v>46477</v>
      </c>
      <c r="C4" s="64">
        <v>46112</v>
      </c>
    </row>
    <row r="6" spans="1:6">
      <c r="A6" s="369"/>
      <c r="B6" s="369"/>
      <c r="C6" s="369"/>
      <c r="D6" s="369"/>
      <c r="E6" s="369"/>
      <c r="F6" s="369"/>
    </row>
    <row r="7" spans="1:6">
      <c r="A7" s="369"/>
      <c r="B7" s="369"/>
      <c r="C7" s="369"/>
      <c r="D7" s="369"/>
      <c r="E7" s="369"/>
      <c r="F7" s="369"/>
    </row>
    <row r="8" spans="1:6">
      <c r="A8" s="257"/>
      <c r="B8" s="257"/>
      <c r="C8" s="257"/>
      <c r="D8" s="257"/>
      <c r="E8" s="257"/>
      <c r="F8" s="257"/>
    </row>
    <row r="9" spans="1:6">
      <c r="A9" s="257"/>
      <c r="B9" s="257"/>
      <c r="C9" s="257"/>
      <c r="D9" s="257"/>
      <c r="E9" s="257"/>
      <c r="F9" s="257"/>
    </row>
  </sheetData>
  <mergeCells count="4">
    <mergeCell ref="A6:F6"/>
    <mergeCell ref="A7:F7"/>
    <mergeCell ref="A8:F8"/>
    <mergeCell ref="A9:F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054A90CCB51694EB4D9AC1659E6AC48" ma:contentTypeVersion="17" ma:contentTypeDescription="Create a new document." ma:contentTypeScope="" ma:versionID="55456f80f664f799e068a8e94bd57697">
  <xsd:schema xmlns:xsd="http://www.w3.org/2001/XMLSchema" xmlns:xs="http://www.w3.org/2001/XMLSchema" xmlns:p="http://schemas.microsoft.com/office/2006/metadata/properties" xmlns:ns2="76f7bad7-08c0-4d31-beb6-8de2bccf0d5e" xmlns:ns3="62865ea8-f116-406c-9840-b9098c6aa2bd" targetNamespace="http://schemas.microsoft.com/office/2006/metadata/properties" ma:root="true" ma:fieldsID="56fc50667d2959c932ad712e38706870" ns2:_="" ns3:_="">
    <xsd:import namespace="76f7bad7-08c0-4d31-beb6-8de2bccf0d5e"/>
    <xsd:import namespace="62865ea8-f116-406c-9840-b9098c6aa2bd"/>
    <xsd:element name="properties">
      <xsd:complexType>
        <xsd:sequence>
          <xsd:element name="documentManagement">
            <xsd:complexType>
              <xsd:all>
                <xsd:element ref="ns2:MediaServiceMetadata" minOccurs="0"/>
                <xsd:element ref="ns2:MediaServiceFastMetadata"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ServiceLocation" minOccurs="0"/>
                <xsd:element ref="ns2:MediaLengthInSecond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7bad7-08c0-4d31-beb6-8de2bccf0d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2cddcab1-4fb3-4190-803e-fbe8b4ce9684" ma:termSetId="09814cd3-568e-fe90-9814-8d621ff8fb84" ma:anchorId="fba54fb3-c3e1-fe81-a776-ca4b69148c4d" ma:open="true" ma:isKeyword="false">
      <xsd:complexType>
        <xsd:sequence>
          <xsd:element ref="pc:Terms" minOccurs="0" maxOccurs="1"/>
        </xsd:sequence>
      </xsd:complex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865ea8-f116-406c-9840-b9098c6aa2bd"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63829e7f-31d0-4ff4-9a33-a81f2fdf0037}" ma:internalName="TaxCatchAll" ma:showField="CatchAllData" ma:web="62865ea8-f116-406c-9840-b9098c6aa2bd">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6f7bad7-08c0-4d31-beb6-8de2bccf0d5e">
      <Terms xmlns="http://schemas.microsoft.com/office/infopath/2007/PartnerControls"/>
    </lcf76f155ced4ddcb4097134ff3c332f>
    <TaxCatchAll xmlns="62865ea8-f116-406c-9840-b9098c6aa2bd" xsi:nil="true"/>
  </documentManagement>
</p:properties>
</file>

<file path=customXml/itemProps1.xml><?xml version="1.0" encoding="utf-8"?>
<ds:datastoreItem xmlns:ds="http://schemas.openxmlformats.org/officeDocument/2006/customXml" ds:itemID="{2CB56862-813B-462E-9FBB-377923CBCA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7bad7-08c0-4d31-beb6-8de2bccf0d5e"/>
    <ds:schemaRef ds:uri="62865ea8-f116-406c-9840-b9098c6aa2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DFB6FA-3B4C-4572-A46B-E1804C0D46AA}">
  <ds:schemaRefs>
    <ds:schemaRef ds:uri="http://schemas.microsoft.com/sharepoint/v3/contenttype/forms"/>
  </ds:schemaRefs>
</ds:datastoreItem>
</file>

<file path=customXml/itemProps3.xml><?xml version="1.0" encoding="utf-8"?>
<ds:datastoreItem xmlns:ds="http://schemas.openxmlformats.org/officeDocument/2006/customXml" ds:itemID="{AA26C831-8C3A-4BB3-8482-56F7AFB4017E}">
  <ds:schemaRefs>
    <ds:schemaRef ds:uri="62865ea8-f116-406c-9840-b9098c6aa2bd"/>
    <ds:schemaRef ds:uri="http://purl.org/dc/dcmitype/"/>
    <ds:schemaRef ds:uri="http://purl.org/dc/elements/1.1/"/>
    <ds:schemaRef ds:uri="76f7bad7-08c0-4d31-beb6-8de2bccf0d5e"/>
    <ds:schemaRef ds:uri="http://schemas.microsoft.com/office/2006/documentManagement/types"/>
    <ds:schemaRef ds:uri="http://www.w3.org/XML/1998/namespace"/>
    <ds:schemaRef ds:uri="http://schemas.microsoft.com/office/2006/metadata/properties"/>
    <ds:schemaRef ds:uri="http://purl.org/dc/term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Guidance</vt:lpstr>
      <vt:lpstr>BCM_criteria</vt:lpstr>
      <vt:lpstr>Balances_form</vt:lpstr>
      <vt:lpstr>4.1_Capital</vt:lpstr>
      <vt:lpstr>4.2_Other_Schools</vt:lpstr>
      <vt:lpstr>4.3_Late_allocations</vt:lpstr>
      <vt:lpstr>4.4_Other_grant_income</vt:lpstr>
      <vt:lpstr>Lookup</vt:lpstr>
      <vt:lpstr>Validation</vt:lpstr>
      <vt:lpstr>Balances_form!Print_Area</vt:lpstr>
    </vt:vector>
  </TitlesOfParts>
  <Manager/>
  <Company>Kent County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hollak01</dc:creator>
  <cp:keywords/>
  <dc:description/>
  <cp:lastModifiedBy>Walkling, Suzanne - TEP</cp:lastModifiedBy>
  <cp:revision/>
  <dcterms:created xsi:type="dcterms:W3CDTF">2010-02-11T14:59:48Z</dcterms:created>
  <dcterms:modified xsi:type="dcterms:W3CDTF">2026-03-30T08:41:00Z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0x010100D054A90CCB51694EB4D9AC1659E6AC48</vt:lpwstr>
  </property>
  <property fmtid="{D5CDD505-2E9C-101B-9397-08002B2CF9AE}" pid="3" name="Order">
    <vt:r8>100</vt:r8>
  </property>
  <property fmtid="{D5CDD505-2E9C-101B-9397-08002B2CF9AE}" pid="4" name="ComplianceAssetId">
    <vt:lpwstr/>
  </property>
  <property fmtid="{D5CDD505-2E9C-101B-9397-08002B2CF9AE}" pid="5" name="TemplateUrl">
    <vt:lpwstr/>
  </property>
  <property fmtid="{D5CDD505-2E9C-101B-9397-08002B2CF9AE}" pid="6" name="xd_Signature">
    <vt:bool>false</vt:bool>
  </property>
  <property fmtid="{D5CDD505-2E9C-101B-9397-08002B2CF9AE}" pid="7" name="xd_ProgID">
    <vt:lpwstr/>
  </property>
  <property fmtid="{D5CDD505-2E9C-101B-9397-08002B2CF9AE}" pid="8" name="MediaServiceImageTags">
    <vt:lpwstr/>
  </property>
  <property fmtid="{D5CDD505-2E9C-101B-9397-08002B2CF9AE}" pid="9" name="_ExtendedDescription">
    <vt:lpwstr/>
  </property>
  <property fmtid="{D5CDD505-2E9C-101B-9397-08002B2CF9AE}" pid="10" name="TriggerFlowInfo">
    <vt:lpwstr/>
  </property>
</Properties>
</file>